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nri\Desktop\Orçamentos_Sisprom\Ipiau\"/>
    </mc:Choice>
  </mc:AlternateContent>
  <xr:revisionPtr revIDLastSave="0" documentId="8_{4DBE0C97-5CA3-404D-B6D3-2E08C6C914AA}" xr6:coauthVersionLast="47" xr6:coauthVersionMax="47" xr10:uidLastSave="{00000000-0000-0000-0000-000000000000}"/>
  <bookViews>
    <workbookView xWindow="28680" yWindow="-30" windowWidth="29040" windowHeight="15720" xr2:uid="{00000000-000D-0000-FFFF-FFFF00000000}"/>
  </bookViews>
  <sheets>
    <sheet name="Sheet1" sheetId="1" r:id="rId1"/>
    <sheet name="Planilha1" sheetId="2" r:id="rId2"/>
    <sheet name="Sheet1 (2)" sheetId="3" state="hidden" r:id="rId3"/>
  </sheets>
  <calcPr calcId="191029"/>
</workbook>
</file>

<file path=xl/calcChain.xml><?xml version="1.0" encoding="utf-8"?>
<calcChain xmlns="http://schemas.openxmlformats.org/spreadsheetml/2006/main">
  <c r="L40" i="2" l="1"/>
  <c r="P40" i="2" s="1"/>
  <c r="K3" i="1"/>
  <c r="V26" i="2"/>
  <c r="H3" i="1"/>
  <c r="K9" i="1"/>
  <c r="K6" i="1"/>
  <c r="N57" i="2"/>
  <c r="I17" i="2"/>
  <c r="L17" i="2" s="1"/>
  <c r="O17" i="2" s="1"/>
  <c r="L10" i="2"/>
  <c r="O10" i="2" s="1"/>
  <c r="L8" i="2"/>
  <c r="N8" i="2" s="1"/>
  <c r="L9" i="2"/>
  <c r="M9" i="2" s="1"/>
  <c r="L7" i="2"/>
  <c r="M7" i="2" s="1"/>
  <c r="L6" i="2"/>
  <c r="P6" i="2" s="1"/>
  <c r="L18" i="2"/>
  <c r="O18" i="2" s="1"/>
  <c r="L57" i="2"/>
  <c r="M57" i="2" s="1"/>
  <c r="L56" i="2"/>
  <c r="N56" i="2" s="1"/>
  <c r="L55" i="2"/>
  <c r="O55" i="2" s="1"/>
  <c r="L49" i="2"/>
  <c r="L50" i="2" s="1"/>
  <c r="L31" i="2"/>
  <c r="L32" i="2" s="1"/>
  <c r="H6" i="1" s="1"/>
  <c r="L25" i="2"/>
  <c r="P25" i="2" s="1"/>
  <c r="L19" i="2"/>
  <c r="P19" i="2" s="1"/>
  <c r="L11" i="2"/>
  <c r="O11" i="2" s="1"/>
  <c r="L5" i="2"/>
  <c r="M5" i="2" s="1"/>
  <c r="L4" i="2"/>
  <c r="N4" i="2" s="1"/>
  <c r="L3" i="2"/>
  <c r="O3" i="2" s="1"/>
  <c r="N3" i="3"/>
  <c r="N15" i="3"/>
  <c r="O16" i="3"/>
  <c r="N14" i="3"/>
  <c r="L6" i="3"/>
  <c r="N6" i="3" s="1"/>
  <c r="L3" i="3"/>
  <c r="L5" i="3"/>
  <c r="N5" i="3" s="1"/>
  <c r="L4" i="3"/>
  <c r="N4" i="3" s="1"/>
  <c r="F5" i="1"/>
  <c r="F4" i="1"/>
  <c r="F6" i="1"/>
  <c r="F7" i="1"/>
  <c r="F8" i="1"/>
  <c r="F10" i="1"/>
  <c r="F9" i="1"/>
  <c r="F11" i="1"/>
  <c r="F3" i="1"/>
  <c r="O31" i="2" l="1"/>
  <c r="O32" i="2" s="1"/>
  <c r="O49" i="2"/>
  <c r="O50" i="2" s="1"/>
  <c r="P49" i="2"/>
  <c r="P31" i="2"/>
  <c r="O9" i="2"/>
  <c r="O5" i="2"/>
  <c r="O8" i="2"/>
  <c r="O4" i="2"/>
  <c r="P10" i="2"/>
  <c r="P8" i="2"/>
  <c r="P18" i="2"/>
  <c r="O25" i="2"/>
  <c r="O26" i="2" s="1"/>
  <c r="O7" i="2"/>
  <c r="O6" i="2"/>
  <c r="P11" i="2"/>
  <c r="P9" i="2"/>
  <c r="P7" i="2"/>
  <c r="O57" i="2"/>
  <c r="P3" i="2"/>
  <c r="P5" i="2"/>
  <c r="O56" i="2"/>
  <c r="M3" i="2"/>
  <c r="P4" i="2"/>
  <c r="P55" i="2"/>
  <c r="N3" i="2"/>
  <c r="P57" i="2"/>
  <c r="P56" i="2"/>
  <c r="P17" i="2"/>
  <c r="O19" i="2"/>
  <c r="O20" i="2" s="1"/>
  <c r="P41" i="2"/>
  <c r="P44" i="2" s="1"/>
  <c r="L8" i="1" s="1"/>
  <c r="L13" i="1" s="1"/>
  <c r="O40" i="2"/>
  <c r="O41" i="2" s="1"/>
  <c r="O44" i="2" s="1"/>
  <c r="K8" i="1" s="1"/>
  <c r="K13" i="1" s="1"/>
  <c r="M10" i="2"/>
  <c r="N10" i="2"/>
  <c r="M40" i="2"/>
  <c r="M8" i="2"/>
  <c r="M55" i="2"/>
  <c r="M49" i="2"/>
  <c r="N49" i="2"/>
  <c r="N50" i="2" s="1"/>
  <c r="N55" i="2"/>
  <c r="N9" i="2"/>
  <c r="M4" i="2"/>
  <c r="N6" i="2"/>
  <c r="M31" i="2"/>
  <c r="N7" i="2"/>
  <c r="M6" i="2"/>
  <c r="N31" i="2"/>
  <c r="N32" i="2" s="1"/>
  <c r="J6" i="1" s="1"/>
  <c r="N19" i="2"/>
  <c r="N11" i="2"/>
  <c r="M56" i="2"/>
  <c r="M11" i="2"/>
  <c r="M17" i="2"/>
  <c r="M19" i="2"/>
  <c r="N17" i="2"/>
  <c r="N40" i="2"/>
  <c r="N5" i="2"/>
  <c r="M18" i="2"/>
  <c r="N18" i="2"/>
  <c r="N25" i="2"/>
  <c r="N26" i="2" s="1"/>
  <c r="M25" i="2"/>
  <c r="M26" i="2" s="1"/>
  <c r="P26" i="2"/>
  <c r="L58" i="2"/>
  <c r="L60" i="2" s="1"/>
  <c r="H9" i="1" s="1"/>
  <c r="L41" i="2"/>
  <c r="L44" i="2" s="1"/>
  <c r="H8" i="1" s="1"/>
  <c r="H13" i="1" s="1"/>
  <c r="L20" i="2"/>
  <c r="L12" i="2"/>
  <c r="L26" i="2"/>
  <c r="N7" i="3"/>
  <c r="F13" i="1"/>
  <c r="O58" i="2" l="1"/>
  <c r="O60" i="2" s="1"/>
  <c r="O12" i="2"/>
  <c r="O35" i="2"/>
  <c r="P12" i="2"/>
  <c r="N58" i="2"/>
  <c r="N60" i="2" s="1"/>
  <c r="J9" i="1" s="1"/>
  <c r="M41" i="2"/>
  <c r="M44" i="2" s="1"/>
  <c r="I8" i="1" s="1"/>
  <c r="I13" i="1" s="1"/>
  <c r="M58" i="2"/>
  <c r="M12" i="2"/>
  <c r="S26" i="2"/>
  <c r="N20" i="2"/>
  <c r="P58" i="2"/>
  <c r="N41" i="2"/>
  <c r="N44" i="2" s="1"/>
  <c r="J8" i="1" s="1"/>
  <c r="J13" i="1" s="1"/>
  <c r="N12" i="2"/>
  <c r="L35" i="2"/>
  <c r="L63" i="2" s="1"/>
  <c r="L65" i="2" s="1"/>
  <c r="M32" i="2"/>
  <c r="I6" i="1" s="1"/>
  <c r="P32" i="2"/>
  <c r="L6" i="1" s="1"/>
  <c r="M50" i="2"/>
  <c r="P50" i="2"/>
  <c r="M20" i="2"/>
  <c r="P20" i="2"/>
  <c r="O63" i="2" l="1"/>
  <c r="O65" i="2" s="1"/>
  <c r="S44" i="2"/>
  <c r="M60" i="2"/>
  <c r="S60" i="2" s="1"/>
  <c r="T26" i="2"/>
  <c r="I3" i="1" s="1"/>
  <c r="W26" i="2"/>
  <c r="L3" i="1" s="1"/>
  <c r="N35" i="2"/>
  <c r="N63" i="2" s="1"/>
  <c r="N65" i="2" s="1"/>
  <c r="U26" i="2"/>
  <c r="J3" i="1" s="1"/>
  <c r="P60" i="2"/>
  <c r="L9" i="1" s="1"/>
  <c r="P35" i="2"/>
  <c r="M35" i="2"/>
  <c r="I9" i="1" l="1"/>
  <c r="M63" i="2"/>
  <c r="M65" i="2" s="1"/>
  <c r="P63" i="2"/>
  <c r="P65" i="2" s="1"/>
  <c r="S35" i="2"/>
</calcChain>
</file>

<file path=xl/sharedStrings.xml><?xml version="1.0" encoding="utf-8"?>
<sst xmlns="http://schemas.openxmlformats.org/spreadsheetml/2006/main" count="241" uniqueCount="102">
  <si>
    <t>ITEM</t>
  </si>
  <si>
    <t>DESCRIÇÃO</t>
  </si>
  <si>
    <t>UNIDADE</t>
  </si>
  <si>
    <t>QTDE</t>
  </si>
  <si>
    <t>Valor Unitário Mercado (R$)</t>
  </si>
  <si>
    <t>Valor Total Mercado (R$)</t>
  </si>
  <si>
    <t>Imóvel</t>
  </si>
  <si>
    <t>Sistema</t>
  </si>
  <si>
    <t>Hora</t>
  </si>
  <si>
    <t>Mês</t>
  </si>
  <si>
    <t>Data</t>
  </si>
  <si>
    <t>Local</t>
  </si>
  <si>
    <t>Carro (R$)</t>
  </si>
  <si>
    <t>Gasolina (R$)</t>
  </si>
  <si>
    <t>Hospedagem (R$)</t>
  </si>
  <si>
    <t>Almoço (R$)</t>
  </si>
  <si>
    <t>Café (R$)</t>
  </si>
  <si>
    <t>Janta (R$)</t>
  </si>
  <si>
    <t>Equipamento (R$)</t>
  </si>
  <si>
    <t>Diária do Operador (R$)</t>
  </si>
  <si>
    <t>Diária do Auxiliar (R$)</t>
  </si>
  <si>
    <t>Total do Dia (R$)</t>
  </si>
  <si>
    <t>Observações</t>
  </si>
  <si>
    <t>Boa Nova</t>
  </si>
  <si>
    <t>Total</t>
  </si>
  <si>
    <t>Despesa de Voos</t>
  </si>
  <si>
    <t>% Lucro</t>
  </si>
  <si>
    <t>Valor Final com Lucro (R$)</t>
  </si>
  <si>
    <t>Despesa de Processamento</t>
  </si>
  <si>
    <t>Serviço</t>
  </si>
  <si>
    <t>Processamento de Imagens Aéreas com Drone</t>
  </si>
  <si>
    <t>Prestação de serviço de processamento e análise de imagens obtidas por aeronave remotamente pilotada (drone), abrangendo área total de 600 hectares, incluindo a geração de produtos cartográficos e relatórios técnicos.</t>
  </si>
  <si>
    <t>Objetivo</t>
  </si>
  <si>
    <t>Ortomosaico GeoTIFF em resolução compatível com o voo.
MDS/MDT em GeoTIFF.
Relatório técnico com metadados e resumo metodológico.</t>
  </si>
  <si>
    <t>Produtos finais</t>
  </si>
  <si>
    <t>Até 10 dias úteis após recebimento integral das imagens.</t>
  </si>
  <si>
    <t>Item</t>
  </si>
  <si>
    <t>Processamento de imagens – 600 ha</t>
  </si>
  <si>
    <t>Valor Unitário (R$)</t>
  </si>
  <si>
    <t>Valor Total (R$)</t>
  </si>
  <si>
    <t>Organização e georreferenciamento das imagens.
Processamento para geração de:
Ortomosaico de alta resolução (RGB);
Modelo Digital de Superfície (MDS);
Modelo Digital de Terreno (MDT);
Correção radiométrica e ajuste de cores.
Exportação em formatos compatíveis com softwares CAD e GIS.
Entrega em mídia digital e/ou link seguro para download.</t>
  </si>
  <si>
    <t>Prazo de Entrega</t>
  </si>
  <si>
    <t>Quantidade (Hectares)</t>
  </si>
  <si>
    <t>Escopo</t>
  </si>
  <si>
    <t>Estimativa de referência (mercado brasileiro 2025)
Hoje, valores de processamento profissional no mercado variam:
Por hectare: R$ 4 a R$ 8/ha (simples) ou R$ 10 a R$ 15/ha (com análises avançadas).
Preço fixo: proporcional ao tempo de processamento e complexidade.
💡 Para 600 ha:
Simples (ortomosaico básico, MDS/MDT): R$ 2.400 a R$ 4.800.
Avançado (classificação, NDVI, análise de volume, relatórios): R$ 6.000 a R$ 9.000.</t>
  </si>
  <si>
    <t>Despesa de Marcos</t>
  </si>
  <si>
    <t>quantidade</t>
  </si>
  <si>
    <t>Serviços</t>
  </si>
  <si>
    <t>Àrea = Há</t>
  </si>
  <si>
    <t>Organização e georreferenciamento das imagens. Processamento para geração de: Ortomosaico de alta resolução (RGB); Modelo Digital de Superfície (MDS); Modelo Digital de Terreno (MDT); Correção radiométrica e ajuste de cores. Exportação em formatos compatíveis com softwares CAD e GIS. Entrega em mídia digital e/ou link seguro para download.</t>
  </si>
  <si>
    <t>Levantamento fotográfico multidirecional (360°) nos lotes urbanos</t>
  </si>
  <si>
    <t>Conjuntos de dados tridimensionais de alta precisão centimétrica, representando fielmente a superfície de objetos ou terrenos - nuvens de pontos.</t>
  </si>
  <si>
    <t>Há</t>
  </si>
  <si>
    <t>Atualização e vetorização da base cartográfica urbana (PECA 1:1000) E do Cadastro técnico imobiliário.</t>
  </si>
  <si>
    <t>Cobertura aerofotogramétrica urbana para obtenção de fotografias aéreas verticais coloridas do território do município , gsd 10 cm ou melhor, pec-a 1:1000</t>
  </si>
  <si>
    <t>Estruturação e atualização de cadastro técnico municipal e reclassificação do padrão construtivo</t>
  </si>
  <si>
    <t xml:space="preserve">Customização, implantação de Plataforma de gestão na Web com integração com Banco de Dados Espacial e Sistema mobile, Sisprom-Br </t>
  </si>
  <si>
    <t>Consultoria em processo e treinamentos.</t>
  </si>
  <si>
    <t>Hospedagem da plantaforma WebGis</t>
  </si>
  <si>
    <t>Geração automatizada das plantas de quadra para planejamento urbano, com representação individualizada, incluindo informações detalhadas como área, largura, comprimento e numeração dos lotes.</t>
  </si>
  <si>
    <t>Rasterizar elementos (desenho)</t>
  </si>
  <si>
    <t>10 Reais por dupla</t>
  </si>
  <si>
    <t>Valor por Imóvel  (R$)</t>
  </si>
  <si>
    <t>Quantidade de Duplas (Un)</t>
  </si>
  <si>
    <t>Quantidade de Imoveis por dupla (Un)</t>
  </si>
  <si>
    <t>Programação</t>
  </si>
  <si>
    <t>voo 360</t>
  </si>
  <si>
    <t>Ortomosaico e nuvem de ponto</t>
  </si>
  <si>
    <t>Pontos de Controle</t>
  </si>
  <si>
    <t>Vetorização dos Imóveis</t>
  </si>
  <si>
    <t>Programaçã, Banco de Dados e Dashboards</t>
  </si>
  <si>
    <t>Total Geral</t>
  </si>
  <si>
    <t>gastos</t>
  </si>
  <si>
    <t>sem lucro</t>
  </si>
  <si>
    <t>com lucro 50%</t>
  </si>
  <si>
    <t>Técnico para Treinamentos</t>
  </si>
  <si>
    <t>Quantidade de Técnico (Un)</t>
  </si>
  <si>
    <t>horas</t>
  </si>
  <si>
    <t>Valor Final 30% Lucro (R$)</t>
  </si>
  <si>
    <t>Valor Final 50% Lucro (R$)</t>
  </si>
  <si>
    <t>Valor Final 70% Lucro (R$)</t>
  </si>
  <si>
    <t>com lucro 30%</t>
  </si>
  <si>
    <t>com lucro 70%</t>
  </si>
  <si>
    <t>Despesas de Voos = 1.250 Ha</t>
  </si>
  <si>
    <t>Despesas de Marcos e Georreferenciamento = 1.250 Há</t>
  </si>
  <si>
    <t>Despesas de Processamento = 1.250 Há</t>
  </si>
  <si>
    <t>Rasterizar elementos (desenho) = 1.250 Há</t>
  </si>
  <si>
    <t>Ipiau</t>
  </si>
  <si>
    <t>30% Lucro</t>
  </si>
  <si>
    <t>50% Lucro</t>
  </si>
  <si>
    <t>70% Lucro</t>
  </si>
  <si>
    <t>100% Lucro</t>
  </si>
  <si>
    <t>Valor Final 100% Lucro (R$)</t>
  </si>
  <si>
    <t>5 Reais por dupla</t>
  </si>
  <si>
    <t>Valor por Hora (R$)</t>
  </si>
  <si>
    <t>Total Despesa (R$)</t>
  </si>
  <si>
    <t>Marcos = 30 (Un)</t>
  </si>
  <si>
    <t>imposto 15%</t>
  </si>
  <si>
    <t>15% Imposto</t>
  </si>
  <si>
    <t>com lucro 100%</t>
  </si>
  <si>
    <t>Equipe de Campo =21,000 Imóveis</t>
  </si>
  <si>
    <t>60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</si>
</sst>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16" fontId="0" fillId="0" borderId="1" xfId="0" applyNumberFormat="1" applyBorder="1"/>
    <xf numFmtId="0" fontId="0" fillId="0" borderId="2" xfId="0" applyBorder="1"/>
    <xf numFmtId="9" fontId="0" fillId="0" borderId="1" xfId="0" applyNumberFormat="1" applyBorder="1"/>
    <xf numFmtId="0" fontId="0" fillId="0" borderId="3" xfId="0" applyBorder="1"/>
    <xf numFmtId="164" fontId="0" fillId="0" borderId="3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16" fontId="0" fillId="0" borderId="11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5" fillId="3" borderId="17" xfId="0" applyFont="1" applyFill="1" applyBorder="1" applyAlignment="1">
      <alignment vertical="center"/>
    </xf>
    <xf numFmtId="164" fontId="5" fillId="3" borderId="17" xfId="0" applyNumberFormat="1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/>
    </xf>
    <xf numFmtId="164" fontId="5" fillId="2" borderId="20" xfId="0" applyNumberFormat="1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164" fontId="0" fillId="0" borderId="6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/>
    <xf numFmtId="16" fontId="0" fillId="0" borderId="11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0" xfId="0" applyFill="1"/>
    <xf numFmtId="164" fontId="0" fillId="0" borderId="2" xfId="0" applyNumberFormat="1" applyFill="1" applyBorder="1" applyAlignment="1">
      <alignment horizontal="left" vertical="center" wrapText="1"/>
    </xf>
    <xf numFmtId="164" fontId="0" fillId="0" borderId="4" xfId="0" applyNumberFormat="1" applyFill="1" applyBorder="1" applyAlignment="1">
      <alignment horizontal="left" vertical="center" wrapText="1"/>
    </xf>
    <xf numFmtId="164" fontId="0" fillId="0" borderId="5" xfId="0" applyNumberFormat="1" applyFill="1" applyBorder="1" applyAlignment="1">
      <alignment horizontal="left" vertical="center" wrapText="1"/>
    </xf>
    <xf numFmtId="16" fontId="0" fillId="0" borderId="12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2" xfId="0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164" fontId="0" fillId="2" borderId="1" xfId="0" applyNumberFormat="1" applyFill="1" applyBorder="1"/>
    <xf numFmtId="0" fontId="0" fillId="0" borderId="0" xfId="0" applyBorder="1"/>
    <xf numFmtId="164" fontId="0" fillId="0" borderId="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6"/>
  <sheetViews>
    <sheetView tabSelected="1" workbookViewId="0">
      <selection activeCell="H16" sqref="H16:L16"/>
    </sheetView>
  </sheetViews>
  <sheetFormatPr defaultRowHeight="15" x14ac:dyDescent="0.25"/>
  <cols>
    <col min="2" max="2" width="50.42578125" bestFit="1" customWidth="1"/>
    <col min="3" max="3" width="9.28515625" bestFit="1" customWidth="1"/>
    <col min="4" max="4" width="10" customWidth="1"/>
    <col min="5" max="5" width="26.42578125" bestFit="1" customWidth="1"/>
    <col min="6" max="6" width="23.42578125" bestFit="1" customWidth="1"/>
    <col min="8" max="8" width="15.7109375" customWidth="1"/>
    <col min="9" max="9" width="18.140625" customWidth="1"/>
    <col min="10" max="10" width="15.85546875" bestFit="1" customWidth="1"/>
    <col min="11" max="12" width="17.42578125" customWidth="1"/>
    <col min="13" max="13" width="12.42578125" bestFit="1" customWidth="1"/>
    <col min="14" max="14" width="15.140625" customWidth="1"/>
    <col min="15" max="15" width="13.5703125" bestFit="1" customWidth="1"/>
  </cols>
  <sheetData>
    <row r="1" spans="1:15" x14ac:dyDescent="0.25">
      <c r="H1" s="43" t="s">
        <v>72</v>
      </c>
      <c r="I1" s="43"/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5" t="s">
        <v>73</v>
      </c>
      <c r="I2" s="15" t="s">
        <v>81</v>
      </c>
      <c r="J2" s="15" t="s">
        <v>74</v>
      </c>
      <c r="K2" s="15" t="s">
        <v>82</v>
      </c>
      <c r="L2" s="15" t="s">
        <v>99</v>
      </c>
    </row>
    <row r="3" spans="1:15" ht="45" customHeight="1" x14ac:dyDescent="0.25">
      <c r="A3" s="11">
        <v>1</v>
      </c>
      <c r="B3" s="22" t="s">
        <v>54</v>
      </c>
      <c r="C3" s="2" t="s">
        <v>52</v>
      </c>
      <c r="D3" s="3">
        <v>1250</v>
      </c>
      <c r="E3" s="4">
        <v>60.9</v>
      </c>
      <c r="F3" s="4">
        <f>E3*D3</f>
        <v>76125</v>
      </c>
      <c r="G3" s="23"/>
      <c r="H3" s="44">
        <f>Planilha1!S26</f>
        <v>73802.36</v>
      </c>
      <c r="I3" s="44">
        <f>Planilha1!T26</f>
        <v>95943.067999999999</v>
      </c>
      <c r="J3" s="44">
        <f>Planilha1!U26</f>
        <v>110703.54000000001</v>
      </c>
      <c r="K3" s="44">
        <f>Planilha1!V26</f>
        <v>125464.01199999999</v>
      </c>
      <c r="L3" s="44">
        <f>Planilha1!W26</f>
        <v>147604.72</v>
      </c>
      <c r="N3" s="85"/>
      <c r="O3" s="85"/>
    </row>
    <row r="4" spans="1:15" ht="47.25" customHeight="1" x14ac:dyDescent="0.25">
      <c r="A4" s="11">
        <v>2</v>
      </c>
      <c r="B4" s="22" t="s">
        <v>51</v>
      </c>
      <c r="C4" s="2" t="s">
        <v>52</v>
      </c>
      <c r="D4" s="3">
        <v>1250</v>
      </c>
      <c r="E4" s="4">
        <v>13.7</v>
      </c>
      <c r="F4" s="4">
        <f t="shared" ref="F4:F11" si="0">E4*D4</f>
        <v>17125</v>
      </c>
      <c r="G4" s="23"/>
      <c r="H4" s="44"/>
      <c r="I4" s="44"/>
      <c r="J4" s="44"/>
      <c r="K4" s="44"/>
      <c r="L4" s="44"/>
      <c r="M4" s="23"/>
      <c r="N4" s="86"/>
      <c r="O4" s="86"/>
    </row>
    <row r="5" spans="1:15" ht="32.25" customHeight="1" x14ac:dyDescent="0.25">
      <c r="A5" s="11">
        <v>3</v>
      </c>
      <c r="B5" s="22" t="s">
        <v>50</v>
      </c>
      <c r="C5" s="2" t="s">
        <v>52</v>
      </c>
      <c r="D5" s="3">
        <v>1250</v>
      </c>
      <c r="E5" s="4">
        <v>10.7</v>
      </c>
      <c r="F5" s="4">
        <f>E5*D5</f>
        <v>13375</v>
      </c>
      <c r="G5" s="23"/>
      <c r="H5" s="44"/>
      <c r="I5" s="44"/>
      <c r="J5" s="44"/>
      <c r="K5" s="44"/>
      <c r="L5" s="44"/>
      <c r="N5" s="85"/>
      <c r="O5" s="85"/>
    </row>
    <row r="6" spans="1:15" ht="51" x14ac:dyDescent="0.25">
      <c r="A6" s="11">
        <v>4</v>
      </c>
      <c r="B6" s="22" t="s">
        <v>59</v>
      </c>
      <c r="C6" s="2" t="s">
        <v>6</v>
      </c>
      <c r="D6" s="3">
        <v>21000</v>
      </c>
      <c r="E6" s="4">
        <v>3.75</v>
      </c>
      <c r="F6" s="4">
        <f t="shared" si="0"/>
        <v>78750</v>
      </c>
      <c r="H6" s="45">
        <f>Planilha1!L32</f>
        <v>63625</v>
      </c>
      <c r="I6" s="45">
        <f>Planilha1!M32</f>
        <v>82712.5</v>
      </c>
      <c r="J6" s="45">
        <f>Planilha1!N32</f>
        <v>95437.5</v>
      </c>
      <c r="K6" s="45">
        <f>Planilha1!O32</f>
        <v>108162.5</v>
      </c>
      <c r="L6" s="45">
        <f>Planilha1!P32</f>
        <v>127250</v>
      </c>
      <c r="N6" s="86"/>
      <c r="O6" s="86"/>
    </row>
    <row r="7" spans="1:15" ht="30.75" customHeight="1" x14ac:dyDescent="0.25">
      <c r="A7" s="11">
        <v>5</v>
      </c>
      <c r="B7" s="22" t="s">
        <v>53</v>
      </c>
      <c r="C7" s="2" t="s">
        <v>6</v>
      </c>
      <c r="D7" s="3">
        <v>21000</v>
      </c>
      <c r="E7" s="4">
        <v>2.99</v>
      </c>
      <c r="F7" s="4">
        <f t="shared" si="0"/>
        <v>62790.000000000007</v>
      </c>
      <c r="H7" s="46"/>
      <c r="I7" s="46"/>
      <c r="J7" s="46"/>
      <c r="K7" s="46"/>
      <c r="L7" s="46"/>
      <c r="M7" s="23"/>
      <c r="N7" s="85"/>
      <c r="O7" s="85"/>
    </row>
    <row r="8" spans="1:15" ht="36" customHeight="1" x14ac:dyDescent="0.25">
      <c r="A8" s="11">
        <v>6</v>
      </c>
      <c r="B8" s="21" t="s">
        <v>55</v>
      </c>
      <c r="C8" s="2" t="s">
        <v>6</v>
      </c>
      <c r="D8" s="3">
        <v>21000</v>
      </c>
      <c r="E8" s="4">
        <v>15.15</v>
      </c>
      <c r="F8" s="4">
        <f t="shared" si="0"/>
        <v>318150</v>
      </c>
      <c r="H8" s="24">
        <f>Planilha1!L44</f>
        <v>142500</v>
      </c>
      <c r="I8" s="24">
        <f>Planilha1!M44</f>
        <v>185250</v>
      </c>
      <c r="J8" s="24">
        <f>Planilha1!N44</f>
        <v>213750</v>
      </c>
      <c r="K8" s="24">
        <f>Planilha1!O44</f>
        <v>242250</v>
      </c>
      <c r="L8" s="24">
        <f>Planilha1!P44</f>
        <v>285000</v>
      </c>
      <c r="N8" s="86"/>
      <c r="O8" s="86"/>
    </row>
    <row r="9" spans="1:15" ht="20.25" customHeight="1" x14ac:dyDescent="0.25">
      <c r="A9" s="11">
        <v>7</v>
      </c>
      <c r="B9" s="22" t="s">
        <v>57</v>
      </c>
      <c r="C9" s="2" t="s">
        <v>8</v>
      </c>
      <c r="D9" s="3">
        <v>90</v>
      </c>
      <c r="E9" s="4">
        <v>200</v>
      </c>
      <c r="F9" s="4">
        <f>E9*D9</f>
        <v>18000</v>
      </c>
      <c r="H9" s="45">
        <f>Planilha1!L60</f>
        <v>50530.59</v>
      </c>
      <c r="I9" s="45">
        <f>Planilha1!M60</f>
        <v>65689.766999999993</v>
      </c>
      <c r="J9" s="45">
        <f>Planilha1!N60</f>
        <v>75795.884999999995</v>
      </c>
      <c r="K9" s="45">
        <f>Planilha1!O60</f>
        <v>85902.002999999997</v>
      </c>
      <c r="L9" s="45">
        <f>Planilha1!P60</f>
        <v>101061.18</v>
      </c>
      <c r="N9" s="85"/>
      <c r="O9" s="85"/>
    </row>
    <row r="10" spans="1:15" ht="45.75" customHeight="1" x14ac:dyDescent="0.25">
      <c r="A10" s="11">
        <v>8</v>
      </c>
      <c r="B10" s="21" t="s">
        <v>56</v>
      </c>
      <c r="C10" s="2" t="s">
        <v>7</v>
      </c>
      <c r="D10" s="3">
        <v>1</v>
      </c>
      <c r="E10" s="4">
        <v>50000</v>
      </c>
      <c r="F10" s="4">
        <f t="shared" si="0"/>
        <v>50000</v>
      </c>
      <c r="H10" s="47"/>
      <c r="I10" s="47"/>
      <c r="J10" s="47"/>
      <c r="K10" s="47"/>
      <c r="L10" s="47"/>
      <c r="N10" s="86"/>
      <c r="O10" s="85"/>
    </row>
    <row r="11" spans="1:15" ht="22.5" customHeight="1" x14ac:dyDescent="0.25">
      <c r="A11" s="11">
        <v>9</v>
      </c>
      <c r="B11" s="22" t="s">
        <v>58</v>
      </c>
      <c r="C11" s="2" t="s">
        <v>9</v>
      </c>
      <c r="D11" s="3">
        <v>12</v>
      </c>
      <c r="E11" s="4">
        <v>10800</v>
      </c>
      <c r="F11" s="4">
        <f t="shared" si="0"/>
        <v>129600</v>
      </c>
      <c r="H11" s="46"/>
      <c r="I11" s="46"/>
      <c r="J11" s="46"/>
      <c r="K11" s="46"/>
      <c r="L11" s="46"/>
      <c r="N11" s="85"/>
      <c r="O11" s="85"/>
    </row>
    <row r="12" spans="1:15" x14ac:dyDescent="0.25">
      <c r="A12" s="2"/>
      <c r="B12" s="2"/>
      <c r="C12" s="2"/>
      <c r="D12" s="2"/>
      <c r="E12" s="2"/>
      <c r="F12" s="2"/>
      <c r="H12">
        <v>0.15</v>
      </c>
      <c r="I12">
        <v>0.15</v>
      </c>
      <c r="J12">
        <v>0.15</v>
      </c>
      <c r="K12">
        <v>0.15</v>
      </c>
      <c r="L12">
        <v>0.15</v>
      </c>
      <c r="N12" s="85"/>
      <c r="O12" s="85"/>
    </row>
    <row r="13" spans="1:15" x14ac:dyDescent="0.25">
      <c r="A13" s="2"/>
      <c r="B13" s="2"/>
      <c r="C13" s="2"/>
      <c r="D13" s="2"/>
      <c r="E13" s="2"/>
      <c r="F13" s="84">
        <f>SUM(F3:F12)</f>
        <v>763915</v>
      </c>
      <c r="H13" s="84">
        <f>SUM(H3:H12)*(1+15%)</f>
        <v>380026.81499999994</v>
      </c>
      <c r="I13" s="84">
        <f>SUM(I3:I12)*(1+15%)</f>
        <v>494034.80774999992</v>
      </c>
      <c r="J13" s="84">
        <f>SUM(J3:J12)*(1+15%)</f>
        <v>570040.13624999998</v>
      </c>
      <c r="K13" s="84">
        <f>SUM(K3:K12)*(1+15%)</f>
        <v>646045.46475000004</v>
      </c>
      <c r="L13" s="84">
        <f>SUM(L3:L12)*(1+15%)</f>
        <v>760053.4574999999</v>
      </c>
      <c r="N13" s="86"/>
      <c r="O13" s="85"/>
    </row>
    <row r="14" spans="1:15" x14ac:dyDescent="0.25">
      <c r="N14" s="85"/>
      <c r="O14" s="85"/>
    </row>
    <row r="15" spans="1:15" x14ac:dyDescent="0.25">
      <c r="N15" s="85"/>
      <c r="O15" s="85"/>
    </row>
    <row r="16" spans="1:15" x14ac:dyDescent="0.25">
      <c r="I16" s="23"/>
      <c r="J16" s="23"/>
      <c r="K16" s="23"/>
      <c r="L16" s="23"/>
    </row>
  </sheetData>
  <mergeCells count="16">
    <mergeCell ref="H9:H11"/>
    <mergeCell ref="I9:I11"/>
    <mergeCell ref="J3:J5"/>
    <mergeCell ref="L3:L5"/>
    <mergeCell ref="J6:J7"/>
    <mergeCell ref="L6:L7"/>
    <mergeCell ref="J9:J11"/>
    <mergeCell ref="L9:L11"/>
    <mergeCell ref="K3:K5"/>
    <mergeCell ref="K6:K7"/>
    <mergeCell ref="K9:K11"/>
    <mergeCell ref="H1:I1"/>
    <mergeCell ref="H3:H5"/>
    <mergeCell ref="I3:I5"/>
    <mergeCell ref="H6:H7"/>
    <mergeCell ref="I6:I7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2D6CB-D920-4E1A-B244-2ADACF334D04}">
  <sheetPr>
    <pageSetUpPr fitToPage="1"/>
  </sheetPr>
  <dimension ref="A1:W65"/>
  <sheetViews>
    <sheetView topLeftCell="C28" workbookViewId="0">
      <selection activeCell="C40" sqref="C40"/>
    </sheetView>
  </sheetViews>
  <sheetFormatPr defaultRowHeight="15" x14ac:dyDescent="0.25"/>
  <cols>
    <col min="3" max="3" width="11.7109375" bestFit="1" customWidth="1"/>
    <col min="4" max="4" width="12.7109375" bestFit="1" customWidth="1"/>
    <col min="5" max="5" width="16.7109375" bestFit="1" customWidth="1"/>
    <col min="6" max="6" width="10.7109375" bestFit="1" customWidth="1"/>
    <col min="7" max="7" width="11.7109375" bestFit="1" customWidth="1"/>
    <col min="8" max="8" width="9.5703125" bestFit="1" customWidth="1"/>
    <col min="9" max="9" width="25" bestFit="1" customWidth="1"/>
    <col min="10" max="10" width="35.28515625" bestFit="1" customWidth="1"/>
    <col min="11" max="11" width="20.42578125" bestFit="1" customWidth="1"/>
    <col min="12" max="12" width="20.5703125" customWidth="1"/>
    <col min="13" max="16" width="24.140625" bestFit="1" customWidth="1"/>
    <col min="17" max="17" width="28.28515625" customWidth="1"/>
    <col min="19" max="20" width="11.7109375" bestFit="1" customWidth="1"/>
    <col min="21" max="21" width="13.140625" customWidth="1"/>
    <col min="22" max="22" width="12.85546875" customWidth="1"/>
    <col min="23" max="23" width="13.28515625" customWidth="1"/>
  </cols>
  <sheetData>
    <row r="1" spans="1:23" ht="18.75" x14ac:dyDescent="0.3">
      <c r="A1" s="67" t="s">
        <v>83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9"/>
      <c r="O1" s="69"/>
      <c r="P1" s="69"/>
      <c r="Q1" s="70"/>
      <c r="S1" s="1" t="s">
        <v>88</v>
      </c>
      <c r="T1" s="1" t="s">
        <v>89</v>
      </c>
      <c r="U1" s="1" t="s">
        <v>90</v>
      </c>
      <c r="V1" s="1" t="s">
        <v>91</v>
      </c>
      <c r="W1" s="1" t="s">
        <v>98</v>
      </c>
    </row>
    <row r="2" spans="1:23" x14ac:dyDescent="0.25">
      <c r="A2" s="71" t="s">
        <v>10</v>
      </c>
      <c r="B2" s="72" t="s">
        <v>11</v>
      </c>
      <c r="C2" s="72" t="s">
        <v>12</v>
      </c>
      <c r="D2" s="72" t="s">
        <v>13</v>
      </c>
      <c r="E2" s="72" t="s">
        <v>14</v>
      </c>
      <c r="F2" s="72" t="s">
        <v>16</v>
      </c>
      <c r="G2" s="72" t="s">
        <v>15</v>
      </c>
      <c r="H2" s="72" t="s">
        <v>17</v>
      </c>
      <c r="I2" s="72" t="s">
        <v>18</v>
      </c>
      <c r="J2" s="72" t="s">
        <v>19</v>
      </c>
      <c r="K2" s="72" t="s">
        <v>20</v>
      </c>
      <c r="L2" s="73" t="s">
        <v>95</v>
      </c>
      <c r="M2" s="73" t="s">
        <v>78</v>
      </c>
      <c r="N2" s="73" t="s">
        <v>79</v>
      </c>
      <c r="O2" s="73" t="s">
        <v>80</v>
      </c>
      <c r="P2" s="73" t="s">
        <v>92</v>
      </c>
      <c r="Q2" s="74" t="s">
        <v>22</v>
      </c>
      <c r="S2" s="51">
        <v>0.3</v>
      </c>
      <c r="T2" s="51">
        <v>0.5</v>
      </c>
      <c r="U2" s="51">
        <v>0.7</v>
      </c>
      <c r="V2" s="51">
        <v>1</v>
      </c>
      <c r="W2" s="51">
        <v>0.15</v>
      </c>
    </row>
    <row r="3" spans="1:23" s="60" customFormat="1" x14ac:dyDescent="0.25">
      <c r="A3" s="52">
        <v>45912</v>
      </c>
      <c r="B3" s="65" t="s">
        <v>87</v>
      </c>
      <c r="C3" s="58">
        <v>188.53</v>
      </c>
      <c r="D3" s="58">
        <v>100</v>
      </c>
      <c r="E3" s="58">
        <v>200</v>
      </c>
      <c r="F3" s="58">
        <v>20</v>
      </c>
      <c r="G3" s="58">
        <v>50</v>
      </c>
      <c r="H3" s="58">
        <v>40</v>
      </c>
      <c r="I3" s="58">
        <v>1000</v>
      </c>
      <c r="J3" s="58">
        <v>800</v>
      </c>
      <c r="K3" s="58">
        <v>200</v>
      </c>
      <c r="L3" s="58">
        <f>SUM(C3:K3)</f>
        <v>2598.5299999999997</v>
      </c>
      <c r="M3" s="58">
        <f>L3*(1+$S$2)</f>
        <v>3378.0889999999999</v>
      </c>
      <c r="N3" s="58">
        <f>L3*(1+$T$2)</f>
        <v>3897.7949999999996</v>
      </c>
      <c r="O3" s="58">
        <f>L3*(1+$U$2)</f>
        <v>4417.5009999999993</v>
      </c>
      <c r="P3" s="58">
        <f>L3*(1+$V$2)</f>
        <v>5197.0599999999995</v>
      </c>
      <c r="Q3" s="59" t="s">
        <v>67</v>
      </c>
    </row>
    <row r="4" spans="1:23" s="60" customFormat="1" x14ac:dyDescent="0.25">
      <c r="A4" s="52">
        <v>45913</v>
      </c>
      <c r="B4" s="65" t="s">
        <v>87</v>
      </c>
      <c r="C4" s="58">
        <v>188.53</v>
      </c>
      <c r="D4" s="58">
        <v>100</v>
      </c>
      <c r="E4" s="58">
        <v>200</v>
      </c>
      <c r="F4" s="58">
        <v>20</v>
      </c>
      <c r="G4" s="58">
        <v>50</v>
      </c>
      <c r="H4" s="58">
        <v>40</v>
      </c>
      <c r="I4" s="58">
        <v>1000</v>
      </c>
      <c r="J4" s="58">
        <v>800</v>
      </c>
      <c r="K4" s="58">
        <v>200</v>
      </c>
      <c r="L4" s="58">
        <f>SUM(C4:K4)</f>
        <v>2598.5299999999997</v>
      </c>
      <c r="M4" s="58">
        <f>L4*(1+$S$2)</f>
        <v>3378.0889999999999</v>
      </c>
      <c r="N4" s="58">
        <f t="shared" ref="N4:N11" si="0">L4*(1+$T$2)</f>
        <v>3897.7949999999996</v>
      </c>
      <c r="O4" s="58">
        <f t="shared" ref="O4:O11" si="1">L4*(1+$U$2)</f>
        <v>4417.5009999999993</v>
      </c>
      <c r="P4" s="58">
        <f t="shared" ref="P4:P11" si="2">L4*(1+$V$2)</f>
        <v>5197.0599999999995</v>
      </c>
      <c r="Q4" s="59" t="s">
        <v>67</v>
      </c>
    </row>
    <row r="5" spans="1:23" s="60" customFormat="1" x14ac:dyDescent="0.25">
      <c r="A5" s="52">
        <v>45914</v>
      </c>
      <c r="B5" s="65" t="s">
        <v>87</v>
      </c>
      <c r="C5" s="58">
        <v>188.53</v>
      </c>
      <c r="D5" s="58">
        <v>100</v>
      </c>
      <c r="E5" s="58">
        <v>200</v>
      </c>
      <c r="F5" s="58">
        <v>20</v>
      </c>
      <c r="G5" s="58">
        <v>50</v>
      </c>
      <c r="H5" s="58">
        <v>40</v>
      </c>
      <c r="I5" s="58">
        <v>1000</v>
      </c>
      <c r="J5" s="58">
        <v>800</v>
      </c>
      <c r="K5" s="58">
        <v>200</v>
      </c>
      <c r="L5" s="58">
        <f>SUM(C5:K5)</f>
        <v>2598.5299999999997</v>
      </c>
      <c r="M5" s="58">
        <f>L5*(1+$S$2)</f>
        <v>3378.0889999999999</v>
      </c>
      <c r="N5" s="58">
        <f t="shared" si="0"/>
        <v>3897.7949999999996</v>
      </c>
      <c r="O5" s="58">
        <f t="shared" si="1"/>
        <v>4417.5009999999993</v>
      </c>
      <c r="P5" s="58">
        <f t="shared" si="2"/>
        <v>5197.0599999999995</v>
      </c>
      <c r="Q5" s="59" t="s">
        <v>67</v>
      </c>
    </row>
    <row r="6" spans="1:23" s="60" customFormat="1" x14ac:dyDescent="0.25">
      <c r="A6" s="52">
        <v>45915</v>
      </c>
      <c r="B6" s="65" t="s">
        <v>87</v>
      </c>
      <c r="C6" s="58">
        <v>188.53</v>
      </c>
      <c r="D6" s="58">
        <v>100</v>
      </c>
      <c r="E6" s="58">
        <v>200</v>
      </c>
      <c r="F6" s="58">
        <v>20</v>
      </c>
      <c r="G6" s="58">
        <v>50</v>
      </c>
      <c r="H6" s="58">
        <v>40</v>
      </c>
      <c r="I6" s="58">
        <v>1000</v>
      </c>
      <c r="J6" s="58">
        <v>800</v>
      </c>
      <c r="K6" s="58">
        <v>200</v>
      </c>
      <c r="L6" s="58">
        <f>SUM(C6:K6)</f>
        <v>2598.5299999999997</v>
      </c>
      <c r="M6" s="58">
        <f>L6*(1+$S$2)</f>
        <v>3378.0889999999999</v>
      </c>
      <c r="N6" s="58">
        <f>L6*(1+$T$2)</f>
        <v>3897.7949999999996</v>
      </c>
      <c r="O6" s="58">
        <f t="shared" si="1"/>
        <v>4417.5009999999993</v>
      </c>
      <c r="P6" s="58">
        <f t="shared" si="2"/>
        <v>5197.0599999999995</v>
      </c>
      <c r="Q6" s="59" t="s">
        <v>67</v>
      </c>
    </row>
    <row r="7" spans="1:23" s="60" customFormat="1" x14ac:dyDescent="0.25">
      <c r="A7" s="52">
        <v>45916</v>
      </c>
      <c r="B7" s="65" t="s">
        <v>87</v>
      </c>
      <c r="C7" s="58">
        <v>188.53</v>
      </c>
      <c r="D7" s="58">
        <v>100</v>
      </c>
      <c r="E7" s="58">
        <v>200</v>
      </c>
      <c r="F7" s="58">
        <v>20</v>
      </c>
      <c r="G7" s="58">
        <v>50</v>
      </c>
      <c r="H7" s="58">
        <v>40</v>
      </c>
      <c r="I7" s="58">
        <v>1000</v>
      </c>
      <c r="J7" s="58">
        <v>800</v>
      </c>
      <c r="K7" s="58">
        <v>200</v>
      </c>
      <c r="L7" s="58">
        <f>SUM(C7:K7)</f>
        <v>2598.5299999999997</v>
      </c>
      <c r="M7" s="58">
        <f>L7*(1+$S$2)</f>
        <v>3378.0889999999999</v>
      </c>
      <c r="N7" s="58">
        <f t="shared" ref="N7:N10" si="3">L7*(1+$T$2)</f>
        <v>3897.7949999999996</v>
      </c>
      <c r="O7" s="58">
        <f t="shared" si="1"/>
        <v>4417.5009999999993</v>
      </c>
      <c r="P7" s="58">
        <f t="shared" si="2"/>
        <v>5197.0599999999995</v>
      </c>
      <c r="Q7" s="59" t="s">
        <v>67</v>
      </c>
    </row>
    <row r="8" spans="1:23" s="60" customFormat="1" x14ac:dyDescent="0.25">
      <c r="A8" s="52">
        <v>45917</v>
      </c>
      <c r="B8" s="65" t="s">
        <v>87</v>
      </c>
      <c r="C8" s="58">
        <v>188.53</v>
      </c>
      <c r="D8" s="58">
        <v>100</v>
      </c>
      <c r="E8" s="58">
        <v>200</v>
      </c>
      <c r="F8" s="58">
        <v>20</v>
      </c>
      <c r="G8" s="58">
        <v>50</v>
      </c>
      <c r="H8" s="58">
        <v>40</v>
      </c>
      <c r="I8" s="58">
        <v>1000</v>
      </c>
      <c r="J8" s="58">
        <v>800</v>
      </c>
      <c r="K8" s="58">
        <v>200</v>
      </c>
      <c r="L8" s="58">
        <f>SUM(C8:K8)</f>
        <v>2598.5299999999997</v>
      </c>
      <c r="M8" s="58">
        <f>L8*(1+$S$2)</f>
        <v>3378.0889999999999</v>
      </c>
      <c r="N8" s="58">
        <f t="shared" ref="N8" si="4">L8*(1+$T$2)</f>
        <v>3897.7949999999996</v>
      </c>
      <c r="O8" s="58">
        <f t="shared" si="1"/>
        <v>4417.5009999999993</v>
      </c>
      <c r="P8" s="58">
        <f t="shared" si="2"/>
        <v>5197.0599999999995</v>
      </c>
      <c r="Q8" s="59" t="s">
        <v>67</v>
      </c>
    </row>
    <row r="9" spans="1:23" s="60" customFormat="1" x14ac:dyDescent="0.25">
      <c r="A9" s="52">
        <v>45917</v>
      </c>
      <c r="B9" s="65" t="s">
        <v>87</v>
      </c>
      <c r="C9" s="58">
        <v>188.53</v>
      </c>
      <c r="D9" s="58">
        <v>100</v>
      </c>
      <c r="E9" s="58">
        <v>200</v>
      </c>
      <c r="F9" s="58">
        <v>20</v>
      </c>
      <c r="G9" s="58">
        <v>50</v>
      </c>
      <c r="H9" s="58">
        <v>40</v>
      </c>
      <c r="I9" s="58">
        <v>1000</v>
      </c>
      <c r="J9" s="58">
        <v>800</v>
      </c>
      <c r="K9" s="58">
        <v>200</v>
      </c>
      <c r="L9" s="58">
        <f>SUM(C9:K9)</f>
        <v>2598.5299999999997</v>
      </c>
      <c r="M9" s="58">
        <f>L9*(1+$S$2)</f>
        <v>3378.0889999999999</v>
      </c>
      <c r="N9" s="58">
        <f t="shared" si="3"/>
        <v>3897.7949999999996</v>
      </c>
      <c r="O9" s="58">
        <f t="shared" si="1"/>
        <v>4417.5009999999993</v>
      </c>
      <c r="P9" s="58">
        <f t="shared" si="2"/>
        <v>5197.0599999999995</v>
      </c>
      <c r="Q9" s="59" t="s">
        <v>67</v>
      </c>
    </row>
    <row r="10" spans="1:23" s="60" customFormat="1" x14ac:dyDescent="0.25">
      <c r="A10" s="52">
        <v>45918</v>
      </c>
      <c r="B10" s="65" t="s">
        <v>87</v>
      </c>
      <c r="C10" s="58">
        <v>188.53</v>
      </c>
      <c r="D10" s="58">
        <v>100</v>
      </c>
      <c r="E10" s="58">
        <v>200</v>
      </c>
      <c r="F10" s="58">
        <v>20</v>
      </c>
      <c r="G10" s="58">
        <v>50</v>
      </c>
      <c r="H10" s="58">
        <v>40</v>
      </c>
      <c r="I10" s="58">
        <v>1000</v>
      </c>
      <c r="J10" s="58">
        <v>800</v>
      </c>
      <c r="K10" s="58">
        <v>200</v>
      </c>
      <c r="L10" s="58">
        <f>SUM(C10:K10)</f>
        <v>2598.5299999999997</v>
      </c>
      <c r="M10" s="58">
        <f>L10*(1+$S$2)</f>
        <v>3378.0889999999999</v>
      </c>
      <c r="N10" s="58">
        <f t="shared" si="3"/>
        <v>3897.7949999999996</v>
      </c>
      <c r="O10" s="58">
        <f t="shared" si="1"/>
        <v>4417.5009999999993</v>
      </c>
      <c r="P10" s="58">
        <f t="shared" si="2"/>
        <v>5197.0599999999995</v>
      </c>
      <c r="Q10" s="59" t="s">
        <v>66</v>
      </c>
    </row>
    <row r="11" spans="1:23" s="60" customFormat="1" x14ac:dyDescent="0.25">
      <c r="A11" s="52">
        <v>45918</v>
      </c>
      <c r="B11" s="65" t="s">
        <v>87</v>
      </c>
      <c r="C11" s="58">
        <v>188.53</v>
      </c>
      <c r="D11" s="58">
        <v>100</v>
      </c>
      <c r="E11" s="58"/>
      <c r="F11" s="58">
        <v>20</v>
      </c>
      <c r="G11" s="58">
        <v>50</v>
      </c>
      <c r="H11" s="58"/>
      <c r="I11" s="58">
        <v>1000</v>
      </c>
      <c r="J11" s="58">
        <v>800</v>
      </c>
      <c r="K11" s="58">
        <v>200</v>
      </c>
      <c r="L11" s="58">
        <f>SUM(C11:K11)</f>
        <v>2358.5299999999997</v>
      </c>
      <c r="M11" s="58">
        <f>L11*(1+$S$2)</f>
        <v>3066.0889999999999</v>
      </c>
      <c r="N11" s="58">
        <f t="shared" si="0"/>
        <v>3537.7949999999996</v>
      </c>
      <c r="O11" s="58">
        <f t="shared" si="1"/>
        <v>4009.5009999999993</v>
      </c>
      <c r="P11" s="58">
        <f t="shared" si="2"/>
        <v>4717.0599999999995</v>
      </c>
      <c r="Q11" s="59" t="s">
        <v>66</v>
      </c>
    </row>
    <row r="12" spans="1:23" x14ac:dyDescent="0.25">
      <c r="A12" s="28"/>
      <c r="B12" s="19"/>
      <c r="C12" s="19"/>
      <c r="D12" s="19"/>
      <c r="E12" s="19"/>
      <c r="F12" s="19"/>
      <c r="G12" s="19"/>
      <c r="H12" s="19"/>
      <c r="I12" s="19"/>
      <c r="J12" s="19"/>
      <c r="K12" s="25" t="s">
        <v>24</v>
      </c>
      <c r="L12" s="26">
        <f>SUM(L3:L11)</f>
        <v>23146.769999999993</v>
      </c>
      <c r="M12" s="26">
        <f>SUM(M3:M11)</f>
        <v>30090.800999999999</v>
      </c>
      <c r="N12" s="26">
        <f>SUM(N3:N11)</f>
        <v>34720.154999999992</v>
      </c>
      <c r="O12" s="26">
        <f>SUM(O3:O11)</f>
        <v>39349.508999999991</v>
      </c>
      <c r="P12" s="26">
        <f>SUM(P3:P11)</f>
        <v>46293.539999999986</v>
      </c>
      <c r="Q12" s="29"/>
    </row>
    <row r="13" spans="1:23" x14ac:dyDescent="0.25">
      <c r="A13" s="2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20"/>
      <c r="M13" s="20"/>
      <c r="N13" s="20"/>
      <c r="O13" s="20"/>
      <c r="P13" s="20"/>
      <c r="Q13" s="30"/>
      <c r="T13" s="23"/>
    </row>
    <row r="14" spans="1:23" x14ac:dyDescent="0.25">
      <c r="A14" s="2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30"/>
    </row>
    <row r="15" spans="1:23" ht="18.75" x14ac:dyDescent="0.3">
      <c r="A15" s="75" t="s">
        <v>84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7"/>
      <c r="O15" s="77"/>
      <c r="P15" s="77"/>
      <c r="Q15" s="78"/>
    </row>
    <row r="16" spans="1:23" s="60" customFormat="1" x14ac:dyDescent="0.25">
      <c r="A16" s="79" t="s">
        <v>10</v>
      </c>
      <c r="B16" s="73" t="s">
        <v>11</v>
      </c>
      <c r="C16" s="73" t="s">
        <v>12</v>
      </c>
      <c r="D16" s="73" t="s">
        <v>13</v>
      </c>
      <c r="E16" s="73" t="s">
        <v>14</v>
      </c>
      <c r="F16" s="73" t="s">
        <v>16</v>
      </c>
      <c r="G16" s="73" t="s">
        <v>15</v>
      </c>
      <c r="H16" s="73" t="s">
        <v>17</v>
      </c>
      <c r="I16" s="73" t="s">
        <v>96</v>
      </c>
      <c r="J16" s="73" t="s">
        <v>19</v>
      </c>
      <c r="K16" s="73" t="s">
        <v>20</v>
      </c>
      <c r="L16" s="73" t="s">
        <v>95</v>
      </c>
      <c r="M16" s="73" t="s">
        <v>78</v>
      </c>
      <c r="N16" s="73" t="s">
        <v>79</v>
      </c>
      <c r="O16" s="73" t="s">
        <v>80</v>
      </c>
      <c r="P16" s="73" t="s">
        <v>92</v>
      </c>
      <c r="Q16" s="80" t="s">
        <v>22</v>
      </c>
    </row>
    <row r="17" spans="1:23" s="60" customFormat="1" x14ac:dyDescent="0.25">
      <c r="A17" s="52">
        <v>45912</v>
      </c>
      <c r="B17" s="65" t="s">
        <v>87</v>
      </c>
      <c r="C17" s="58">
        <v>188.53</v>
      </c>
      <c r="D17" s="58">
        <v>100</v>
      </c>
      <c r="E17" s="58">
        <v>150</v>
      </c>
      <c r="F17" s="58">
        <v>20</v>
      </c>
      <c r="G17" s="58">
        <v>50</v>
      </c>
      <c r="H17" s="58">
        <v>40</v>
      </c>
      <c r="I17" s="58">
        <f>300*30</f>
        <v>9000</v>
      </c>
      <c r="J17" s="58">
        <v>800</v>
      </c>
      <c r="K17" s="58">
        <v>100</v>
      </c>
      <c r="L17" s="58">
        <f>SUM(C17:K17)</f>
        <v>10448.530000000001</v>
      </c>
      <c r="M17" s="58">
        <f>L17*(1+$S$2)</f>
        <v>13583.089000000002</v>
      </c>
      <c r="N17" s="58">
        <f>L17*(1+$T$2)</f>
        <v>15672.795000000002</v>
      </c>
      <c r="O17" s="58">
        <f>L17*(1+$U$2)</f>
        <v>17762.501</v>
      </c>
      <c r="P17" s="58">
        <f>L17*(1+$V$2)</f>
        <v>20897.060000000001</v>
      </c>
      <c r="Q17" s="59" t="s">
        <v>68</v>
      </c>
    </row>
    <row r="18" spans="1:23" s="60" customFormat="1" x14ac:dyDescent="0.25">
      <c r="A18" s="52">
        <v>45913</v>
      </c>
      <c r="B18" s="65" t="s">
        <v>87</v>
      </c>
      <c r="C18" s="58">
        <v>188.53</v>
      </c>
      <c r="D18" s="58">
        <v>100</v>
      </c>
      <c r="E18" s="58">
        <v>150</v>
      </c>
      <c r="F18" s="58">
        <v>20</v>
      </c>
      <c r="G18" s="58">
        <v>50</v>
      </c>
      <c r="H18" s="58">
        <v>40</v>
      </c>
      <c r="I18" s="58"/>
      <c r="J18" s="58">
        <v>800</v>
      </c>
      <c r="K18" s="58">
        <v>100</v>
      </c>
      <c r="L18" s="58">
        <f>SUM(C18:K18)</f>
        <v>1448.53</v>
      </c>
      <c r="M18" s="58">
        <f>L18*(1+$S$2)</f>
        <v>1883.0889999999999</v>
      </c>
      <c r="N18" s="58">
        <f>L18*(1+$T$2)</f>
        <v>2172.7950000000001</v>
      </c>
      <c r="O18" s="58">
        <f t="shared" ref="O18:O19" si="5">L18*(1+$U$2)</f>
        <v>2462.5009999999997</v>
      </c>
      <c r="P18" s="58">
        <f t="shared" ref="P18:P19" si="6">L18*(1+$V$2)</f>
        <v>2897.06</v>
      </c>
      <c r="Q18" s="59" t="s">
        <v>68</v>
      </c>
    </row>
    <row r="19" spans="1:23" s="60" customFormat="1" x14ac:dyDescent="0.25">
      <c r="A19" s="52">
        <v>45914</v>
      </c>
      <c r="B19" s="65" t="s">
        <v>87</v>
      </c>
      <c r="C19" s="58">
        <v>188.53</v>
      </c>
      <c r="D19" s="58">
        <v>100</v>
      </c>
      <c r="E19" s="58"/>
      <c r="F19" s="58">
        <v>20</v>
      </c>
      <c r="G19" s="58">
        <v>50</v>
      </c>
      <c r="H19" s="58"/>
      <c r="I19" s="58"/>
      <c r="J19" s="58">
        <v>800</v>
      </c>
      <c r="K19" s="58">
        <v>100</v>
      </c>
      <c r="L19" s="58">
        <f>SUM(C19:K19)</f>
        <v>1258.53</v>
      </c>
      <c r="M19" s="58">
        <f>L19*(1+$S$2)</f>
        <v>1636.0889999999999</v>
      </c>
      <c r="N19" s="58">
        <f>L19*(1+$T$2)</f>
        <v>1887.7950000000001</v>
      </c>
      <c r="O19" s="58">
        <f t="shared" si="5"/>
        <v>2139.5009999999997</v>
      </c>
      <c r="P19" s="58">
        <f t="shared" si="6"/>
        <v>2517.06</v>
      </c>
      <c r="Q19" s="59" t="s">
        <v>68</v>
      </c>
    </row>
    <row r="20" spans="1:23" x14ac:dyDescent="0.25">
      <c r="A20" s="28"/>
      <c r="B20" s="19"/>
      <c r="C20" s="19"/>
      <c r="D20" s="19"/>
      <c r="E20" s="19"/>
      <c r="F20" s="19"/>
      <c r="G20" s="19"/>
      <c r="H20" s="19"/>
      <c r="I20" s="19"/>
      <c r="J20" s="19"/>
      <c r="K20" s="25" t="s">
        <v>24</v>
      </c>
      <c r="L20" s="26">
        <f>SUM(L17:L19)</f>
        <v>13155.590000000002</v>
      </c>
      <c r="M20" s="26">
        <f>SUM(M17:M19)</f>
        <v>17102.267</v>
      </c>
      <c r="N20" s="26">
        <f>SUM(N17:N19)</f>
        <v>19733.385000000002</v>
      </c>
      <c r="O20" s="26">
        <f>SUM(O17:O19)</f>
        <v>22364.503000000001</v>
      </c>
      <c r="P20" s="26">
        <f>SUM(P17:P19)</f>
        <v>26311.180000000004</v>
      </c>
      <c r="Q20" s="29"/>
    </row>
    <row r="21" spans="1:23" x14ac:dyDescent="0.25">
      <c r="A21" s="2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30"/>
    </row>
    <row r="22" spans="1:23" x14ac:dyDescent="0.25">
      <c r="A22" s="2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30"/>
    </row>
    <row r="23" spans="1:23" ht="18.75" x14ac:dyDescent="0.3">
      <c r="A23" s="75" t="s">
        <v>85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  <c r="O23" s="77"/>
      <c r="P23" s="77"/>
      <c r="Q23" s="78"/>
    </row>
    <row r="24" spans="1:23" x14ac:dyDescent="0.25">
      <c r="A24" s="79" t="s">
        <v>10</v>
      </c>
      <c r="B24" s="73" t="s">
        <v>11</v>
      </c>
      <c r="C24" s="81" t="s">
        <v>47</v>
      </c>
      <c r="D24" s="82"/>
      <c r="E24" s="82"/>
      <c r="F24" s="82"/>
      <c r="G24" s="82"/>
      <c r="H24" s="82"/>
      <c r="I24" s="83"/>
      <c r="J24" s="73" t="s">
        <v>48</v>
      </c>
      <c r="K24" s="73" t="s">
        <v>38</v>
      </c>
      <c r="L24" s="73" t="s">
        <v>95</v>
      </c>
      <c r="M24" s="73" t="s">
        <v>78</v>
      </c>
      <c r="N24" s="73" t="s">
        <v>79</v>
      </c>
      <c r="O24" s="73" t="s">
        <v>80</v>
      </c>
      <c r="P24" s="73" t="s">
        <v>92</v>
      </c>
      <c r="Q24" s="80" t="s">
        <v>22</v>
      </c>
      <c r="S24" s="23"/>
      <c r="T24" s="23"/>
    </row>
    <row r="25" spans="1:23" s="60" customFormat="1" ht="68.25" customHeight="1" x14ac:dyDescent="0.25">
      <c r="A25" s="52">
        <v>45916</v>
      </c>
      <c r="B25" s="53" t="s">
        <v>87</v>
      </c>
      <c r="C25" s="54" t="s">
        <v>49</v>
      </c>
      <c r="D25" s="55"/>
      <c r="E25" s="55"/>
      <c r="F25" s="55"/>
      <c r="G25" s="55"/>
      <c r="H25" s="55"/>
      <c r="I25" s="56"/>
      <c r="J25" s="57">
        <v>1250</v>
      </c>
      <c r="K25" s="58">
        <v>30</v>
      </c>
      <c r="L25" s="58">
        <f>J25*K25</f>
        <v>37500</v>
      </c>
      <c r="M25" s="58">
        <f>L25*(1+$S$2)</f>
        <v>48750</v>
      </c>
      <c r="N25" s="58">
        <f>L25*(1+$T$2)</f>
        <v>56250</v>
      </c>
      <c r="O25" s="58">
        <f>L25*(1+$U$2)</f>
        <v>63750</v>
      </c>
      <c r="P25" s="58">
        <f>L25*(1+$V$2)</f>
        <v>75000</v>
      </c>
      <c r="Q25" s="59" t="s">
        <v>67</v>
      </c>
    </row>
    <row r="26" spans="1:23" x14ac:dyDescent="0.25">
      <c r="A26" s="31"/>
      <c r="K26" s="25" t="s">
        <v>24</v>
      </c>
      <c r="L26" s="26">
        <f>SUM(L25:L25)</f>
        <v>37500</v>
      </c>
      <c r="M26" s="26">
        <f>SUM(M25:M25)</f>
        <v>48750</v>
      </c>
      <c r="N26" s="26">
        <f>SUM(N25:N25)</f>
        <v>56250</v>
      </c>
      <c r="O26" s="26">
        <f>SUM(O25:O25)</f>
        <v>63750</v>
      </c>
      <c r="P26" s="26">
        <f>SUM(P25:P25)</f>
        <v>75000</v>
      </c>
      <c r="Q26" s="29"/>
      <c r="S26" s="23">
        <f>L26+L20+L12</f>
        <v>73802.36</v>
      </c>
      <c r="T26" s="23">
        <f>M26+M20+M12</f>
        <v>95943.067999999999</v>
      </c>
      <c r="U26" s="23">
        <f>N26+N20+N12</f>
        <v>110703.54000000001</v>
      </c>
      <c r="V26" s="23">
        <f>O26+O20+O12</f>
        <v>125464.01199999999</v>
      </c>
      <c r="W26" s="23">
        <f>P26+P20+P12</f>
        <v>147604.72</v>
      </c>
    </row>
    <row r="27" spans="1:23" x14ac:dyDescent="0.25">
      <c r="A27" s="31"/>
      <c r="Q27" s="32"/>
    </row>
    <row r="28" spans="1:23" x14ac:dyDescent="0.25">
      <c r="A28" s="31"/>
      <c r="K28" s="42"/>
      <c r="Q28" s="32"/>
    </row>
    <row r="29" spans="1:23" ht="18.75" x14ac:dyDescent="0.3">
      <c r="A29" s="75" t="s">
        <v>86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  <c r="O29" s="77"/>
      <c r="P29" s="77"/>
      <c r="Q29" s="78"/>
    </row>
    <row r="30" spans="1:23" x14ac:dyDescent="0.25">
      <c r="A30" s="79" t="s">
        <v>10</v>
      </c>
      <c r="B30" s="73" t="s">
        <v>11</v>
      </c>
      <c r="C30" s="81" t="s">
        <v>47</v>
      </c>
      <c r="D30" s="82"/>
      <c r="E30" s="82"/>
      <c r="F30" s="82"/>
      <c r="G30" s="82"/>
      <c r="H30" s="82"/>
      <c r="I30" s="83"/>
      <c r="J30" s="73" t="s">
        <v>48</v>
      </c>
      <c r="K30" s="73" t="s">
        <v>38</v>
      </c>
      <c r="L30" s="73" t="s">
        <v>95</v>
      </c>
      <c r="M30" s="73" t="s">
        <v>78</v>
      </c>
      <c r="N30" s="73" t="s">
        <v>79</v>
      </c>
      <c r="O30" s="73" t="s">
        <v>80</v>
      </c>
      <c r="P30" s="73" t="s">
        <v>92</v>
      </c>
      <c r="Q30" s="80" t="s">
        <v>22</v>
      </c>
    </row>
    <row r="31" spans="1:23" s="60" customFormat="1" ht="68.25" customHeight="1" x14ac:dyDescent="0.25">
      <c r="A31" s="52">
        <v>45925</v>
      </c>
      <c r="B31" s="53" t="s">
        <v>87</v>
      </c>
      <c r="C31" s="61" t="s">
        <v>60</v>
      </c>
      <c r="D31" s="62"/>
      <c r="E31" s="62"/>
      <c r="F31" s="62"/>
      <c r="G31" s="62"/>
      <c r="H31" s="62"/>
      <c r="I31" s="63"/>
      <c r="J31" s="57">
        <v>1250</v>
      </c>
      <c r="K31" s="58">
        <v>50.9</v>
      </c>
      <c r="L31" s="58">
        <f>J31*K31</f>
        <v>63625</v>
      </c>
      <c r="M31" s="58">
        <f>L31*(1+$S$2)</f>
        <v>82712.5</v>
      </c>
      <c r="N31" s="58">
        <f>L31*(1+$T$2)</f>
        <v>95437.5</v>
      </c>
      <c r="O31" s="58">
        <f>L31*(1+$U$2)</f>
        <v>108162.5</v>
      </c>
      <c r="P31" s="58">
        <f>L31*(1+$V$2)</f>
        <v>127250</v>
      </c>
      <c r="Q31" s="64" t="s">
        <v>69</v>
      </c>
    </row>
    <row r="32" spans="1:23" x14ac:dyDescent="0.25">
      <c r="A32" s="31"/>
      <c r="K32" s="25" t="s">
        <v>24</v>
      </c>
      <c r="L32" s="26">
        <f>SUM(L31:L31)</f>
        <v>63625</v>
      </c>
      <c r="M32" s="26">
        <f>SUM(M31:M31)</f>
        <v>82712.5</v>
      </c>
      <c r="N32" s="26">
        <f>SUM(N31:N31)</f>
        <v>95437.5</v>
      </c>
      <c r="O32" s="26">
        <f>SUM(O31:O31)</f>
        <v>108162.5</v>
      </c>
      <c r="P32" s="26">
        <f>SUM(P31:P31)</f>
        <v>127250</v>
      </c>
      <c r="Q32" s="29"/>
    </row>
    <row r="33" spans="1:19" x14ac:dyDescent="0.25">
      <c r="A33" s="31"/>
      <c r="Q33" s="32"/>
    </row>
    <row r="34" spans="1:19" x14ac:dyDescent="0.25">
      <c r="A34" s="31"/>
      <c r="Q34" s="32"/>
    </row>
    <row r="35" spans="1:19" ht="15.75" thickBot="1" x14ac:dyDescent="0.3">
      <c r="A35" s="33"/>
      <c r="B35" s="34"/>
      <c r="C35" s="34"/>
      <c r="D35" s="34"/>
      <c r="E35" s="34"/>
      <c r="F35" s="34"/>
      <c r="G35" s="34"/>
      <c r="H35" s="34"/>
      <c r="I35" s="34"/>
      <c r="J35" s="34"/>
      <c r="K35" s="35" t="s">
        <v>24</v>
      </c>
      <c r="L35" s="36">
        <f>SUM(L12+L20+L26+L32)</f>
        <v>137427.35999999999</v>
      </c>
      <c r="M35" s="36">
        <f>SUM(M12+M20+M26+M32)</f>
        <v>178655.568</v>
      </c>
      <c r="N35" s="36">
        <f>SUM(N12+N20+N26+N32)</f>
        <v>206141.03999999998</v>
      </c>
      <c r="O35" s="36">
        <f>SUM(O12+O20+O26+O32)</f>
        <v>233626.51199999999</v>
      </c>
      <c r="P35" s="36">
        <f>SUM(P12+P20+P26+P32)</f>
        <v>274854.71999999997</v>
      </c>
      <c r="Q35" s="37"/>
      <c r="S35" s="23">
        <f>M35-L35</f>
        <v>41228.208000000013</v>
      </c>
    </row>
    <row r="36" spans="1:19" x14ac:dyDescent="0.25">
      <c r="S36" s="23"/>
    </row>
    <row r="37" spans="1:19" ht="15.75" thickBot="1" x14ac:dyDescent="0.3"/>
    <row r="38" spans="1:19" ht="18.75" x14ac:dyDescent="0.3">
      <c r="A38" s="67" t="s">
        <v>100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9"/>
      <c r="O38" s="69"/>
      <c r="P38" s="69"/>
      <c r="Q38" s="70"/>
    </row>
    <row r="39" spans="1:19" s="60" customFormat="1" x14ac:dyDescent="0.25">
      <c r="A39" s="71" t="s">
        <v>10</v>
      </c>
      <c r="B39" s="72" t="s">
        <v>11</v>
      </c>
      <c r="C39" s="72" t="s">
        <v>12</v>
      </c>
      <c r="D39" s="72" t="s">
        <v>13</v>
      </c>
      <c r="E39" s="72" t="s">
        <v>14</v>
      </c>
      <c r="F39" s="72" t="s">
        <v>16</v>
      </c>
      <c r="G39" s="72" t="s">
        <v>15</v>
      </c>
      <c r="H39" s="72" t="s">
        <v>17</v>
      </c>
      <c r="I39" s="72" t="s">
        <v>63</v>
      </c>
      <c r="J39" s="72" t="s">
        <v>64</v>
      </c>
      <c r="K39" s="72" t="s">
        <v>62</v>
      </c>
      <c r="L39" s="73" t="s">
        <v>95</v>
      </c>
      <c r="M39" s="73" t="s">
        <v>78</v>
      </c>
      <c r="N39" s="73" t="s">
        <v>79</v>
      </c>
      <c r="O39" s="73" t="s">
        <v>80</v>
      </c>
      <c r="P39" s="73" t="s">
        <v>92</v>
      </c>
      <c r="Q39" s="74" t="s">
        <v>22</v>
      </c>
    </row>
    <row r="40" spans="1:19" s="60" customFormat="1" x14ac:dyDescent="0.25">
      <c r="A40" s="52" t="s">
        <v>101</v>
      </c>
      <c r="B40" s="65" t="s">
        <v>87</v>
      </c>
      <c r="C40" s="58">
        <v>5000</v>
      </c>
      <c r="D40" s="58">
        <v>1000</v>
      </c>
      <c r="E40" s="58"/>
      <c r="F40" s="58">
        <v>9000</v>
      </c>
      <c r="G40" s="58">
        <v>22500</v>
      </c>
      <c r="H40" s="58"/>
      <c r="I40" s="57">
        <v>5</v>
      </c>
      <c r="J40" s="57">
        <v>4200</v>
      </c>
      <c r="K40" s="58">
        <v>5</v>
      </c>
      <c r="L40" s="58">
        <f>(C40+D40+F40+G40)+(I40*J40*K40)</f>
        <v>142500</v>
      </c>
      <c r="M40" s="58">
        <f>L40*(1+$S$2)</f>
        <v>185250</v>
      </c>
      <c r="N40" s="58">
        <f>L40*(1+$T$2)</f>
        <v>213750</v>
      </c>
      <c r="O40" s="58">
        <f>L40*(1+$U$2)</f>
        <v>242250</v>
      </c>
      <c r="P40" s="58">
        <f>L40*(1+$V$2)</f>
        <v>285000</v>
      </c>
      <c r="Q40" s="66" t="s">
        <v>93</v>
      </c>
    </row>
    <row r="41" spans="1:19" x14ac:dyDescent="0.25">
      <c r="A41" s="28"/>
      <c r="B41" s="19"/>
      <c r="C41" s="19"/>
      <c r="D41" s="19"/>
      <c r="E41" s="19"/>
      <c r="F41" s="19"/>
      <c r="G41" s="19"/>
      <c r="H41" s="19"/>
      <c r="I41" s="19"/>
      <c r="J41" s="19"/>
      <c r="K41" s="25" t="s">
        <v>24</v>
      </c>
      <c r="L41" s="26">
        <f>SUM(L40:L40)</f>
        <v>142500</v>
      </c>
      <c r="M41" s="26">
        <f>SUM(M40:M40)</f>
        <v>185250</v>
      </c>
      <c r="N41" s="26">
        <f>SUM(N40:N40)</f>
        <v>213750</v>
      </c>
      <c r="O41" s="26">
        <f>SUM(O40:O40)</f>
        <v>242250</v>
      </c>
      <c r="P41" s="26">
        <f>SUM(P40:P40)</f>
        <v>285000</v>
      </c>
      <c r="Q41" s="29"/>
    </row>
    <row r="42" spans="1:19" x14ac:dyDescent="0.25">
      <c r="A42" s="31"/>
      <c r="Q42" s="32"/>
    </row>
    <row r="43" spans="1:19" x14ac:dyDescent="0.25">
      <c r="A43" s="31"/>
      <c r="Q43" s="32"/>
    </row>
    <row r="44" spans="1:19" ht="15.75" thickBot="1" x14ac:dyDescent="0.3">
      <c r="A44" s="33"/>
      <c r="B44" s="34"/>
      <c r="C44" s="34"/>
      <c r="D44" s="34"/>
      <c r="E44" s="34"/>
      <c r="F44" s="34"/>
      <c r="G44" s="34"/>
      <c r="H44" s="34"/>
      <c r="I44" s="34"/>
      <c r="J44" s="34"/>
      <c r="K44" s="35" t="s">
        <v>24</v>
      </c>
      <c r="L44" s="36">
        <f>SUM(L41)</f>
        <v>142500</v>
      </c>
      <c r="M44" s="36">
        <f>SUM(M41)</f>
        <v>185250</v>
      </c>
      <c r="N44" s="36">
        <f>SUM(N41)</f>
        <v>213750</v>
      </c>
      <c r="O44" s="36">
        <f>SUM(O41)</f>
        <v>242250</v>
      </c>
      <c r="P44" s="36">
        <f>SUM(P41)</f>
        <v>285000</v>
      </c>
      <c r="Q44" s="37"/>
      <c r="S44" s="23">
        <f>M44-L44</f>
        <v>42750</v>
      </c>
    </row>
    <row r="45" spans="1:19" x14ac:dyDescent="0.25">
      <c r="S45" s="23"/>
    </row>
    <row r="46" spans="1:19" ht="15.75" thickBot="1" x14ac:dyDescent="0.3"/>
    <row r="47" spans="1:19" ht="18.75" x14ac:dyDescent="0.3">
      <c r="A47" s="67" t="s">
        <v>65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70"/>
    </row>
    <row r="48" spans="1:19" x14ac:dyDescent="0.25">
      <c r="A48" s="79" t="s">
        <v>10</v>
      </c>
      <c r="B48" s="73" t="s">
        <v>11</v>
      </c>
      <c r="C48" s="81" t="s">
        <v>47</v>
      </c>
      <c r="D48" s="82"/>
      <c r="E48" s="82"/>
      <c r="F48" s="82"/>
      <c r="G48" s="82"/>
      <c r="H48" s="82"/>
      <c r="I48" s="83"/>
      <c r="J48" s="73" t="s">
        <v>8</v>
      </c>
      <c r="K48" s="72" t="s">
        <v>94</v>
      </c>
      <c r="L48" s="73" t="s">
        <v>95</v>
      </c>
      <c r="M48" s="73" t="s">
        <v>78</v>
      </c>
      <c r="N48" s="73" t="s">
        <v>79</v>
      </c>
      <c r="O48" s="73" t="s">
        <v>80</v>
      </c>
      <c r="P48" s="73" t="s">
        <v>92</v>
      </c>
      <c r="Q48" s="80" t="s">
        <v>22</v>
      </c>
    </row>
    <row r="49" spans="1:19" s="60" customFormat="1" x14ac:dyDescent="0.25">
      <c r="A49" s="52">
        <v>45936</v>
      </c>
      <c r="B49" s="53" t="s">
        <v>87</v>
      </c>
      <c r="C49" s="61" t="s">
        <v>70</v>
      </c>
      <c r="D49" s="62"/>
      <c r="E49" s="62"/>
      <c r="F49" s="62"/>
      <c r="G49" s="62"/>
      <c r="H49" s="62"/>
      <c r="I49" s="63"/>
      <c r="J49" s="57">
        <v>240</v>
      </c>
      <c r="K49" s="58">
        <v>200</v>
      </c>
      <c r="L49" s="58">
        <f>J49*K49</f>
        <v>48000</v>
      </c>
      <c r="M49" s="58">
        <f>L49*(1+$S$2)</f>
        <v>62400</v>
      </c>
      <c r="N49" s="58">
        <f t="shared" ref="N49" si="7">L49*(1+$T$2)</f>
        <v>72000</v>
      </c>
      <c r="O49" s="58">
        <f>L49*(1+$U$2)</f>
        <v>81600</v>
      </c>
      <c r="P49" s="58">
        <f>L49*(1+$V$2)</f>
        <v>96000</v>
      </c>
      <c r="Q49" s="64"/>
    </row>
    <row r="50" spans="1:19" x14ac:dyDescent="0.25">
      <c r="A50" s="31"/>
      <c r="K50" s="25" t="s">
        <v>24</v>
      </c>
      <c r="L50" s="26">
        <f>SUM(L49:L49)</f>
        <v>48000</v>
      </c>
      <c r="M50" s="26">
        <f>SUM(M49:M49)</f>
        <v>62400</v>
      </c>
      <c r="N50" s="26">
        <f>SUM(N49:N49)</f>
        <v>72000</v>
      </c>
      <c r="O50" s="26">
        <f>SUM(O49:O49)</f>
        <v>81600</v>
      </c>
      <c r="P50" s="26">
        <f>SUM(P49:P49)</f>
        <v>96000</v>
      </c>
      <c r="Q50" s="29"/>
    </row>
    <row r="51" spans="1:19" x14ac:dyDescent="0.25">
      <c r="A51" s="31"/>
      <c r="Q51" s="32"/>
    </row>
    <row r="52" spans="1:19" x14ac:dyDescent="0.25">
      <c r="A52" s="31"/>
      <c r="Q52" s="32"/>
    </row>
    <row r="53" spans="1:19" ht="18.75" x14ac:dyDescent="0.3">
      <c r="A53" s="75" t="s">
        <v>75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7"/>
      <c r="O53" s="77"/>
      <c r="P53" s="77"/>
      <c r="Q53" s="78"/>
    </row>
    <row r="54" spans="1:19" x14ac:dyDescent="0.25">
      <c r="A54" s="71" t="s">
        <v>10</v>
      </c>
      <c r="B54" s="72" t="s">
        <v>11</v>
      </c>
      <c r="C54" s="72" t="s">
        <v>12</v>
      </c>
      <c r="D54" s="72" t="s">
        <v>13</v>
      </c>
      <c r="E54" s="72" t="s">
        <v>14</v>
      </c>
      <c r="F54" s="72" t="s">
        <v>16</v>
      </c>
      <c r="G54" s="72" t="s">
        <v>15</v>
      </c>
      <c r="H54" s="72" t="s">
        <v>17</v>
      </c>
      <c r="I54" s="72" t="s">
        <v>76</v>
      </c>
      <c r="J54" s="72" t="s">
        <v>77</v>
      </c>
      <c r="K54" s="72" t="s">
        <v>94</v>
      </c>
      <c r="L54" s="73" t="s">
        <v>95</v>
      </c>
      <c r="M54" s="73" t="s">
        <v>78</v>
      </c>
      <c r="N54" s="73" t="s">
        <v>79</v>
      </c>
      <c r="O54" s="73" t="s">
        <v>80</v>
      </c>
      <c r="P54" s="73" t="s">
        <v>92</v>
      </c>
      <c r="Q54" s="74" t="s">
        <v>22</v>
      </c>
    </row>
    <row r="55" spans="1:19" x14ac:dyDescent="0.25">
      <c r="A55" s="27">
        <v>45936</v>
      </c>
      <c r="B55" s="16" t="s">
        <v>87</v>
      </c>
      <c r="C55" s="17">
        <v>188.53</v>
      </c>
      <c r="D55" s="17">
        <v>50</v>
      </c>
      <c r="E55" s="17">
        <v>150</v>
      </c>
      <c r="F55" s="17">
        <v>10</v>
      </c>
      <c r="G55" s="17">
        <v>25</v>
      </c>
      <c r="H55" s="17">
        <v>20</v>
      </c>
      <c r="I55" s="18">
        <v>1</v>
      </c>
      <c r="J55" s="18">
        <v>8</v>
      </c>
      <c r="K55" s="17">
        <v>50</v>
      </c>
      <c r="L55" s="17">
        <f>(C55+D55+E55+F55+G55+H55)+(I55*J55*K55)</f>
        <v>843.53</v>
      </c>
      <c r="M55" s="17">
        <f>L55*(1+$S$2)</f>
        <v>1096.5889999999999</v>
      </c>
      <c r="N55" s="17">
        <f t="shared" ref="N55:N57" si="8">L55*(1+$T$2)</f>
        <v>1265.2950000000001</v>
      </c>
      <c r="O55" s="17">
        <f>L55*(1+$U$2)</f>
        <v>1434.001</v>
      </c>
      <c r="P55" s="17">
        <f>L55*(1+$V$2)</f>
        <v>1687.06</v>
      </c>
      <c r="Q55" s="38" t="s">
        <v>61</v>
      </c>
    </row>
    <row r="56" spans="1:19" x14ac:dyDescent="0.25">
      <c r="A56" s="27">
        <v>45937</v>
      </c>
      <c r="B56" s="16" t="s">
        <v>87</v>
      </c>
      <c r="C56" s="17">
        <v>188.53</v>
      </c>
      <c r="D56" s="17">
        <v>50</v>
      </c>
      <c r="E56" s="17">
        <v>150</v>
      </c>
      <c r="F56" s="17">
        <v>10</v>
      </c>
      <c r="G56" s="17">
        <v>25</v>
      </c>
      <c r="H56" s="17">
        <v>20</v>
      </c>
      <c r="I56" s="18">
        <v>1</v>
      </c>
      <c r="J56" s="18">
        <v>8</v>
      </c>
      <c r="K56" s="17">
        <v>50</v>
      </c>
      <c r="L56" s="17">
        <f>(C56+D56+E56+F56+G56+H56)+(I56*J56*K56)</f>
        <v>843.53</v>
      </c>
      <c r="M56" s="17">
        <f t="shared" ref="M56:M57" si="9">L56*(1+$S$2)</f>
        <v>1096.5889999999999</v>
      </c>
      <c r="N56" s="17">
        <f t="shared" si="8"/>
        <v>1265.2950000000001</v>
      </c>
      <c r="O56" s="17">
        <f t="shared" ref="O56:O57" si="10">L56*(1+$U$2)</f>
        <v>1434.001</v>
      </c>
      <c r="P56" s="17">
        <f t="shared" ref="P56:P57" si="11">L56*(1+$V$2)</f>
        <v>1687.06</v>
      </c>
      <c r="Q56" s="38" t="s">
        <v>61</v>
      </c>
    </row>
    <row r="57" spans="1:19" x14ac:dyDescent="0.25">
      <c r="A57" s="27">
        <v>45938</v>
      </c>
      <c r="B57" s="16" t="s">
        <v>87</v>
      </c>
      <c r="C57" s="17">
        <v>188.53</v>
      </c>
      <c r="D57" s="17">
        <v>50</v>
      </c>
      <c r="E57" s="17">
        <v>150</v>
      </c>
      <c r="F57" s="17">
        <v>10</v>
      </c>
      <c r="G57" s="17">
        <v>25</v>
      </c>
      <c r="H57" s="17">
        <v>20</v>
      </c>
      <c r="I57" s="18">
        <v>1</v>
      </c>
      <c r="J57" s="18">
        <v>8</v>
      </c>
      <c r="K57" s="17">
        <v>50</v>
      </c>
      <c r="L57" s="17">
        <f>(C57+D57+E57+F57+G57+H57)+(I57*J57*K57)</f>
        <v>843.53</v>
      </c>
      <c r="M57" s="17">
        <f t="shared" si="9"/>
        <v>1096.5889999999999</v>
      </c>
      <c r="N57" s="17">
        <f>L57*(1+$T$2)</f>
        <v>1265.2950000000001</v>
      </c>
      <c r="O57" s="17">
        <f t="shared" si="10"/>
        <v>1434.001</v>
      </c>
      <c r="P57" s="17">
        <f t="shared" si="11"/>
        <v>1687.06</v>
      </c>
      <c r="Q57" s="38" t="s">
        <v>61</v>
      </c>
    </row>
    <row r="58" spans="1:19" x14ac:dyDescent="0.25">
      <c r="A58" s="28"/>
      <c r="B58" s="19"/>
      <c r="C58" s="19"/>
      <c r="D58" s="19"/>
      <c r="E58" s="19"/>
      <c r="F58" s="19"/>
      <c r="G58" s="19"/>
      <c r="H58" s="19"/>
      <c r="I58" s="19"/>
      <c r="J58" s="19"/>
      <c r="K58" s="25" t="s">
        <v>24</v>
      </c>
      <c r="L58" s="26">
        <f>SUM(L55:L57)</f>
        <v>2530.59</v>
      </c>
      <c r="M58" s="26">
        <f>SUM(M55:M57)</f>
        <v>3289.7669999999998</v>
      </c>
      <c r="N58" s="26">
        <f>SUM(N55:N57)</f>
        <v>3795.8850000000002</v>
      </c>
      <c r="O58" s="26">
        <f>SUM(O55:O57)</f>
        <v>4302.0029999999997</v>
      </c>
      <c r="P58" s="26">
        <f>SUM(P55:P57)</f>
        <v>5061.18</v>
      </c>
      <c r="Q58" s="29"/>
    </row>
    <row r="59" spans="1:19" x14ac:dyDescent="0.25">
      <c r="A59" s="31"/>
      <c r="Q59" s="32"/>
    </row>
    <row r="60" spans="1:19" ht="15.75" thickBot="1" x14ac:dyDescent="0.3">
      <c r="A60" s="33"/>
      <c r="B60" s="34"/>
      <c r="C60" s="34"/>
      <c r="D60" s="34"/>
      <c r="E60" s="34"/>
      <c r="F60" s="34"/>
      <c r="G60" s="34"/>
      <c r="H60" s="34"/>
      <c r="I60" s="34"/>
      <c r="J60" s="34"/>
      <c r="K60" s="35" t="s">
        <v>24</v>
      </c>
      <c r="L60" s="36">
        <f>SUM(L58+L50)</f>
        <v>50530.59</v>
      </c>
      <c r="M60" s="36">
        <f>SUM(M58+M50)</f>
        <v>65689.766999999993</v>
      </c>
      <c r="N60" s="36">
        <f>SUM(N58+N50)</f>
        <v>75795.884999999995</v>
      </c>
      <c r="O60" s="36">
        <f>SUM(O58+O50)</f>
        <v>85902.002999999997</v>
      </c>
      <c r="P60" s="36">
        <f>SUM(P58+P50)</f>
        <v>101061.18</v>
      </c>
      <c r="Q60" s="37"/>
      <c r="S60" s="23">
        <f>M60-L60</f>
        <v>15159.176999999996</v>
      </c>
    </row>
    <row r="62" spans="1:19" ht="15.75" thickBot="1" x14ac:dyDescent="0.3"/>
    <row r="63" spans="1:19" ht="15.75" thickBot="1" x14ac:dyDescent="0.3">
      <c r="K63" s="39" t="s">
        <v>71</v>
      </c>
      <c r="L63" s="40">
        <f>SUM(L60+L44+L35)</f>
        <v>330457.94999999995</v>
      </c>
      <c r="M63" s="40">
        <f>SUM(M60+M44+M35)</f>
        <v>429595.33499999996</v>
      </c>
      <c r="N63" s="40">
        <f>SUM(N60+N44+N35)</f>
        <v>495686.92499999999</v>
      </c>
      <c r="O63" s="40">
        <f>SUM(O60+O44+O35)</f>
        <v>561778.51500000001</v>
      </c>
      <c r="P63" s="40">
        <f>SUM(P60+P44+P35)</f>
        <v>660915.89999999991</v>
      </c>
      <c r="Q63" s="41"/>
    </row>
    <row r="64" spans="1:19" ht="15.75" thickBot="1" x14ac:dyDescent="0.3"/>
    <row r="65" spans="11:17" ht="15.75" thickBot="1" x14ac:dyDescent="0.3">
      <c r="K65" s="39" t="s">
        <v>97</v>
      </c>
      <c r="L65" s="40">
        <f>L63*(1+$W$2)</f>
        <v>380026.6424999999</v>
      </c>
      <c r="M65" s="40">
        <f>M63*(1+$W$2)</f>
        <v>494034.63524999993</v>
      </c>
      <c r="N65" s="40">
        <f>N63*(1+$W$2)</f>
        <v>570039.96375</v>
      </c>
      <c r="O65" s="40">
        <f>O63*(1+$W$2)</f>
        <v>646045.29224999994</v>
      </c>
      <c r="P65" s="40">
        <f>P63*(1+$W$2)</f>
        <v>760053.2849999998</v>
      </c>
      <c r="Q65" s="41"/>
    </row>
  </sheetData>
  <mergeCells count="13">
    <mergeCell ref="A53:Q53"/>
    <mergeCell ref="C30:I30"/>
    <mergeCell ref="A38:Q38"/>
    <mergeCell ref="C24:I24"/>
    <mergeCell ref="A47:Q47"/>
    <mergeCell ref="C49:I49"/>
    <mergeCell ref="C48:I48"/>
    <mergeCell ref="C31:I31"/>
    <mergeCell ref="A1:Q1"/>
    <mergeCell ref="A15:Q15"/>
    <mergeCell ref="A23:Q23"/>
    <mergeCell ref="C25:I25"/>
    <mergeCell ref="A29:Q29"/>
  </mergeCells>
  <pageMargins left="0.511811024" right="0.511811024" top="0.78740157499999996" bottom="0.78740157499999996" header="0.31496062000000002" footer="0.31496062000000002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38696-6197-4CEF-BA7B-3847CD4EC225}">
  <dimension ref="A1:Q16"/>
  <sheetViews>
    <sheetView workbookViewId="0">
      <selection sqref="A1:O8"/>
    </sheetView>
  </sheetViews>
  <sheetFormatPr defaultRowHeight="15" x14ac:dyDescent="0.25"/>
  <cols>
    <col min="1" max="1" width="15.42578125" customWidth="1"/>
    <col min="2" max="2" width="11" customWidth="1"/>
    <col min="3" max="3" width="11.42578125" customWidth="1"/>
    <col min="4" max="4" width="14.85546875" customWidth="1"/>
    <col min="5" max="5" width="18.85546875" customWidth="1"/>
    <col min="6" max="6" width="15" bestFit="1" customWidth="1"/>
    <col min="7" max="7" width="14.140625" customWidth="1"/>
    <col min="8" max="8" width="12.7109375" customWidth="1"/>
    <col min="9" max="9" width="19.85546875" customWidth="1"/>
    <col min="10" max="10" width="23.28515625" customWidth="1"/>
    <col min="11" max="11" width="21.28515625" customWidth="1"/>
    <col min="12" max="12" width="16.42578125" customWidth="1"/>
    <col min="13" max="13" width="14.85546875" customWidth="1"/>
    <col min="14" max="14" width="24.140625" bestFit="1" customWidth="1"/>
    <col min="15" max="15" width="13.42578125" bestFit="1" customWidth="1"/>
    <col min="17" max="17" width="55.85546875" customWidth="1"/>
  </cols>
  <sheetData>
    <row r="1" spans="1:17" ht="18.75" x14ac:dyDescent="0.3">
      <c r="A1" s="48" t="s">
        <v>25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1" t="s">
        <v>26</v>
      </c>
    </row>
    <row r="2" spans="1:17" x14ac:dyDescent="0.25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16</v>
      </c>
      <c r="G2" s="1" t="s">
        <v>15</v>
      </c>
      <c r="H2" s="1" t="s">
        <v>17</v>
      </c>
      <c r="I2" s="1" t="s">
        <v>18</v>
      </c>
      <c r="J2" s="1" t="s">
        <v>19</v>
      </c>
      <c r="K2" s="1" t="s">
        <v>20</v>
      </c>
      <c r="L2" s="1" t="s">
        <v>21</v>
      </c>
      <c r="M2" s="1" t="s">
        <v>26</v>
      </c>
      <c r="N2" s="1" t="s">
        <v>27</v>
      </c>
      <c r="O2" s="1" t="s">
        <v>22</v>
      </c>
      <c r="P2" s="7">
        <v>0.5</v>
      </c>
    </row>
    <row r="3" spans="1:17" x14ac:dyDescent="0.25">
      <c r="A3" s="5">
        <v>45850</v>
      </c>
      <c r="B3" s="2" t="s">
        <v>23</v>
      </c>
      <c r="C3" s="2">
        <v>188.53</v>
      </c>
      <c r="D3" s="2">
        <v>100</v>
      </c>
      <c r="E3" s="2">
        <v>150</v>
      </c>
      <c r="F3" s="2">
        <v>20</v>
      </c>
      <c r="G3" s="2">
        <v>50</v>
      </c>
      <c r="H3" s="2">
        <v>40</v>
      </c>
      <c r="I3" s="2">
        <v>1000</v>
      </c>
      <c r="J3" s="2">
        <v>200</v>
      </c>
      <c r="K3" s="2">
        <v>100</v>
      </c>
      <c r="L3" s="4">
        <f>SUM(C3:K3)</f>
        <v>1848.53</v>
      </c>
      <c r="M3" s="7">
        <v>0.5</v>
      </c>
      <c r="N3" s="4">
        <f>L3*(1+M3)</f>
        <v>2772.7950000000001</v>
      </c>
      <c r="O3" s="2"/>
    </row>
    <row r="4" spans="1:17" x14ac:dyDescent="0.25">
      <c r="A4" s="5">
        <v>45851</v>
      </c>
      <c r="B4" s="2" t="s">
        <v>23</v>
      </c>
      <c r="C4" s="2">
        <v>188.53</v>
      </c>
      <c r="D4" s="2">
        <v>100</v>
      </c>
      <c r="E4" s="2">
        <v>150</v>
      </c>
      <c r="F4" s="2">
        <v>20</v>
      </c>
      <c r="G4" s="2">
        <v>50</v>
      </c>
      <c r="H4" s="2">
        <v>40</v>
      </c>
      <c r="I4" s="2">
        <v>1000</v>
      </c>
      <c r="J4" s="2">
        <v>200</v>
      </c>
      <c r="K4" s="2">
        <v>100</v>
      </c>
      <c r="L4" s="4">
        <f>SUM(C4:K4)</f>
        <v>1848.53</v>
      </c>
      <c r="M4" s="7">
        <v>0.5</v>
      </c>
      <c r="N4" s="4">
        <f t="shared" ref="N4:N5" si="0">L4*(1+M4)</f>
        <v>2772.7950000000001</v>
      </c>
      <c r="O4" s="2"/>
    </row>
    <row r="5" spans="1:17" x14ac:dyDescent="0.25">
      <c r="A5" s="5">
        <v>45852</v>
      </c>
      <c r="B5" s="2" t="s">
        <v>23</v>
      </c>
      <c r="C5" s="2">
        <v>188.53</v>
      </c>
      <c r="D5" s="2">
        <v>100</v>
      </c>
      <c r="E5" s="2">
        <v>150</v>
      </c>
      <c r="F5" s="2">
        <v>20</v>
      </c>
      <c r="G5" s="2">
        <v>50</v>
      </c>
      <c r="H5" s="2">
        <v>40</v>
      </c>
      <c r="I5" s="2">
        <v>1000</v>
      </c>
      <c r="J5" s="2">
        <v>200</v>
      </c>
      <c r="K5" s="6">
        <v>100</v>
      </c>
      <c r="L5" s="4">
        <f>SUM(C5:K5)</f>
        <v>1848.53</v>
      </c>
      <c r="M5" s="7">
        <v>0.5</v>
      </c>
      <c r="N5" s="4">
        <f t="shared" si="0"/>
        <v>2772.7950000000001</v>
      </c>
      <c r="O5" s="2"/>
    </row>
    <row r="6" spans="1:17" x14ac:dyDescent="0.25">
      <c r="A6" s="5">
        <v>45853</v>
      </c>
      <c r="B6" s="2" t="s">
        <v>23</v>
      </c>
      <c r="C6" s="2">
        <v>188.53</v>
      </c>
      <c r="D6" s="2">
        <v>100</v>
      </c>
      <c r="E6" s="2"/>
      <c r="F6" s="2">
        <v>20</v>
      </c>
      <c r="G6" s="2">
        <v>50</v>
      </c>
      <c r="H6" s="2"/>
      <c r="I6" s="2">
        <v>1000</v>
      </c>
      <c r="J6" s="2">
        <v>200</v>
      </c>
      <c r="K6" s="6">
        <v>100</v>
      </c>
      <c r="L6" s="4">
        <f>SUM(C6:K6)</f>
        <v>1658.53</v>
      </c>
      <c r="M6" s="7">
        <v>0.5</v>
      </c>
      <c r="N6" s="4">
        <f t="shared" ref="N6" si="1">L6*(1+M6)</f>
        <v>2487.7950000000001</v>
      </c>
      <c r="O6" s="2"/>
    </row>
    <row r="7" spans="1:17" x14ac:dyDescent="0.25">
      <c r="L7" s="2" t="s">
        <v>24</v>
      </c>
      <c r="M7" s="2"/>
      <c r="N7" s="4">
        <f>SUM(N2:N6)</f>
        <v>10806.18</v>
      </c>
      <c r="O7" s="2"/>
    </row>
    <row r="8" spans="1:17" ht="18.75" x14ac:dyDescent="0.3">
      <c r="A8" s="48" t="s">
        <v>45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7" x14ac:dyDescent="0.25">
      <c r="A9" s="1" t="s">
        <v>10</v>
      </c>
      <c r="B9" s="1" t="s">
        <v>11</v>
      </c>
      <c r="C9" s="1" t="s">
        <v>46</v>
      </c>
    </row>
    <row r="10" spans="1:17" x14ac:dyDescent="0.25">
      <c r="C10" s="1"/>
    </row>
    <row r="12" spans="1:17" ht="18.75" x14ac:dyDescent="0.3">
      <c r="A12" s="48" t="s">
        <v>28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</row>
    <row r="13" spans="1:17" ht="30.75" customHeight="1" x14ac:dyDescent="0.25">
      <c r="A13" s="14" t="s">
        <v>29</v>
      </c>
      <c r="B13" s="49" t="s">
        <v>32</v>
      </c>
      <c r="C13" s="49"/>
      <c r="D13" s="49"/>
      <c r="E13" s="49" t="s">
        <v>43</v>
      </c>
      <c r="F13" s="49"/>
      <c r="G13" s="49"/>
      <c r="H13" s="49" t="s">
        <v>34</v>
      </c>
      <c r="I13" s="49"/>
      <c r="J13" s="14" t="s">
        <v>41</v>
      </c>
      <c r="K13" s="14" t="s">
        <v>36</v>
      </c>
      <c r="L13" s="14" t="s">
        <v>42</v>
      </c>
      <c r="M13" s="14" t="s">
        <v>38</v>
      </c>
      <c r="N13" s="14" t="s">
        <v>39</v>
      </c>
      <c r="O13" s="49" t="s">
        <v>22</v>
      </c>
      <c r="P13" s="49"/>
      <c r="Q13" s="49"/>
    </row>
    <row r="14" spans="1:17" ht="150.75" customHeight="1" x14ac:dyDescent="0.25">
      <c r="A14" s="10" t="s">
        <v>30</v>
      </c>
      <c r="B14" s="50" t="s">
        <v>31</v>
      </c>
      <c r="C14" s="50"/>
      <c r="D14" s="50"/>
      <c r="E14" s="50" t="s">
        <v>40</v>
      </c>
      <c r="F14" s="50"/>
      <c r="G14" s="50"/>
      <c r="H14" s="50" t="s">
        <v>33</v>
      </c>
      <c r="I14" s="50"/>
      <c r="J14" s="10" t="s">
        <v>35</v>
      </c>
      <c r="K14" s="10" t="s">
        <v>37</v>
      </c>
      <c r="L14" s="11">
        <v>610</v>
      </c>
      <c r="M14" s="12">
        <v>10</v>
      </c>
      <c r="N14" s="13">
        <f>L14*M14</f>
        <v>6100</v>
      </c>
      <c r="O14" s="50" t="s">
        <v>44</v>
      </c>
      <c r="P14" s="50"/>
      <c r="Q14" s="50"/>
    </row>
    <row r="15" spans="1:17" x14ac:dyDescent="0.25">
      <c r="L15" s="8" t="s">
        <v>24</v>
      </c>
      <c r="M15" s="8"/>
      <c r="N15" s="9">
        <f>SUM(O16+N7)</f>
        <v>19956.18</v>
      </c>
    </row>
    <row r="16" spans="1:17" x14ac:dyDescent="0.25">
      <c r="O16">
        <f>N14*(1+P2)</f>
        <v>9150</v>
      </c>
    </row>
  </sheetData>
  <mergeCells count="11">
    <mergeCell ref="A1:O1"/>
    <mergeCell ref="A12:O12"/>
    <mergeCell ref="H13:I13"/>
    <mergeCell ref="H14:I14"/>
    <mergeCell ref="E13:G13"/>
    <mergeCell ref="E14:G14"/>
    <mergeCell ref="B14:D14"/>
    <mergeCell ref="B13:D13"/>
    <mergeCell ref="O14:Q14"/>
    <mergeCell ref="O13:Q13"/>
    <mergeCell ref="A8:O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Sheet1</vt:lpstr>
      <vt:lpstr>Planilha1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</dc:creator>
  <cp:lastModifiedBy>antonio santos</cp:lastModifiedBy>
  <cp:lastPrinted>2025-08-15T18:53:41Z</cp:lastPrinted>
  <dcterms:created xsi:type="dcterms:W3CDTF">2025-08-11T17:22:27Z</dcterms:created>
  <dcterms:modified xsi:type="dcterms:W3CDTF">2025-09-04T12:53:51Z</dcterms:modified>
</cp:coreProperties>
</file>